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" activeTab="0"/>
  </bookViews>
  <sheets>
    <sheet name="TDSheet" sheetId="1" r:id="rId1"/>
  </sheets>
  <definedNames>
    <definedName name="_xlnm.Print_Area" localSheetId="0">'TDSheet'!$A$1:$T$338</definedName>
  </definedNames>
  <calcPr fullCalcOnLoad="1"/>
</workbook>
</file>

<file path=xl/sharedStrings.xml><?xml version="1.0" encoding="utf-8"?>
<sst xmlns="http://schemas.openxmlformats.org/spreadsheetml/2006/main" count="586" uniqueCount="125">
  <si>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</si>
  <si>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</si>
  <si>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</si>
  <si>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</si>
  <si>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Неделя:</t>
  </si>
  <si>
    <t>№ рец. по сборнику</t>
  </si>
  <si>
    <t>каша  молочная манная с маслом сливочным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</si>
  <si>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</si>
  <si>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</si>
  <si>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</si>
  <si>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</si>
  <si>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</si>
  <si>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</si>
  <si>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</si>
  <si>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</si>
  <si>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</si>
  <si>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</si>
  <si>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</si>
  <si>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</si>
  <si>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</si>
  <si>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</si>
  <si>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</si>
  <si>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</si>
  <si>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</si>
  <si>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</si>
  <si>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</si>
  <si>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</si>
  <si>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Бутерброд с сыром</t>
  </si>
  <si>
    <t>30/15</t>
  </si>
  <si>
    <t>Каша  молочная манная с маслом сливочным</t>
  </si>
  <si>
    <t>ПР</t>
  </si>
  <si>
    <t>Молоко ''Авишка''</t>
  </si>
  <si>
    <t>200</t>
  </si>
  <si>
    <t>Кондитерское изделие</t>
  </si>
  <si>
    <t>Итого за Завтрак молочный</t>
  </si>
  <si>
    <t>% от суточной нормы</t>
  </si>
  <si>
    <t>Обед (полноценный рацион питания)</t>
  </si>
  <si>
    <t>45</t>
  </si>
  <si>
    <t>Салат из белокочанной капусты с морковью</t>
  </si>
  <si>
    <t xml:space="preserve">Суп картофельный с горохом </t>
  </si>
  <si>
    <t>Палочки детские "Детские" запеченые (в соответствии с ГОСТ Р 55366-2012)</t>
  </si>
  <si>
    <t>Макаронные изделия отварные с маслом сливочным</t>
  </si>
  <si>
    <t xml:space="preserve">Компот из смеси сухофруктов     С- витаминизированный </t>
  </si>
  <si>
    <t>Хлеб ржано-пшеничный</t>
  </si>
  <si>
    <t>Фрукты</t>
  </si>
  <si>
    <t>Итого за Обед (полноценный рацион питания)</t>
  </si>
  <si>
    <t>Полдник</t>
  </si>
  <si>
    <t>конвертик с сыром</t>
  </si>
  <si>
    <t>Чай с лимоном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</si>
  <si>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</si>
  <si>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</si>
  <si>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</si>
  <si>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</si>
  <si>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</si>
  <si>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№
рец.</t>
  </si>
  <si>
    <t>Прием пищи, наименование блюда</t>
  </si>
  <si>
    <t>Завтрак мясной</t>
  </si>
  <si>
    <t xml:space="preserve">Холодная закуска: Овощи порционно / Огурец </t>
  </si>
  <si>
    <t xml:space="preserve">Рис отварной с маслом сливочным </t>
  </si>
  <si>
    <t>Хлеб пшеничный</t>
  </si>
  <si>
    <t>Итого за Завтрак мясной</t>
  </si>
  <si>
    <t>Салат из свеклы с маслом растительным</t>
  </si>
  <si>
    <t>Суп картофельный с макаронными изделиями</t>
  </si>
  <si>
    <t>Рыба, запеченная с овощами и сыром</t>
  </si>
  <si>
    <t>Компот из быстрозамороженных ягод  (компотная смесь)</t>
  </si>
  <si>
    <t>Пирожок с  начинкой</t>
  </si>
  <si>
    <t>Кофейный напиток</t>
  </si>
  <si>
    <t>ПРИМЕЧАНИЕ  ** могут быть использованы нектары,морсы,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</si>
  <si>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</si>
  <si>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</si>
  <si>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</si>
  <si>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Сгущенное молоко</t>
  </si>
  <si>
    <t>Пудинг творожный</t>
  </si>
  <si>
    <t xml:space="preserve">Салат из  свежих помидоров и огурцов с растительным маслом </t>
  </si>
  <si>
    <t xml:space="preserve">Борщ со свежей капустой </t>
  </si>
  <si>
    <t>Плов  с  птицей</t>
  </si>
  <si>
    <t>Лимонный напиток</t>
  </si>
  <si>
    <t>котлета в тесте</t>
  </si>
  <si>
    <t>Чай  с сахаром</t>
  </si>
  <si>
    <t>Примерное меню и пищевая ценность приготовляемых блюд (лист 4)</t>
  </si>
  <si>
    <t>четверг</t>
  </si>
  <si>
    <t>Рассольник "Ленинградский" на бульоне</t>
  </si>
  <si>
    <t>Бифштекс рубленый "Детский" (в соответствии с ГОСТ Р 55366-2012)</t>
  </si>
  <si>
    <t>пицца с курицей</t>
  </si>
  <si>
    <t>Примерное меню и пищевая ценность приготовляемых блюд (лист 5)</t>
  </si>
  <si>
    <t>пятница</t>
  </si>
  <si>
    <t>Суп картофельный с рыбными консервами</t>
  </si>
  <si>
    <t>Котлеты "Куриные"</t>
  </si>
  <si>
    <t>Рагу овощное</t>
  </si>
  <si>
    <t>Оладьи с яблоками</t>
  </si>
  <si>
    <t>Йогурт</t>
  </si>
  <si>
    <t>100</t>
  </si>
  <si>
    <t>Примерное меню и пищевая ценность приготовляемых блюд (лист 6)</t>
  </si>
  <si>
    <t>Булочка сдобная</t>
  </si>
  <si>
    <t xml:space="preserve">Каша Дружба молочная с маслом сливочным </t>
  </si>
  <si>
    <t>Борщ "Сибирский" с фасолью</t>
  </si>
  <si>
    <t>Бедро цыпленка тушеное с овощами</t>
  </si>
  <si>
    <t>120/20</t>
  </si>
  <si>
    <t>Ватрушка с повидлом</t>
  </si>
  <si>
    <t>Примерное меню и пищевая ценность приготовляемых блюд (лист 7)</t>
  </si>
  <si>
    <t>Овощи порционно /  огурец</t>
  </si>
  <si>
    <t>Винегрет овощной</t>
  </si>
  <si>
    <t>Каша гречневая  рассыпчатая с маслом</t>
  </si>
  <si>
    <t>Пирожок с начинкой</t>
  </si>
  <si>
    <t>какаю</t>
  </si>
  <si>
    <t>Примерное меню и пищевая ценность приготовляемых блюд (лист 8)</t>
  </si>
  <si>
    <t xml:space="preserve">Молоко сгущенное порционно </t>
  </si>
  <si>
    <t>Суп картофельный с крупами (пшено)</t>
  </si>
  <si>
    <t xml:space="preserve">Жаркое по- домашнему </t>
  </si>
  <si>
    <t>Плюшка</t>
  </si>
  <si>
    <t>Примерное меню и пищевая ценность приготовляемых блюд (лист 9)</t>
  </si>
  <si>
    <t xml:space="preserve">I </t>
  </si>
  <si>
    <t xml:space="preserve">Щи из свежей капусты </t>
  </si>
  <si>
    <t>Оладьи "Домашние" со сгущенным молоком</t>
  </si>
  <si>
    <t xml:space="preserve">Какао с молоком </t>
  </si>
  <si>
    <t>Примерное меню и пищевая ценность приготовляемых блюд (лист 10)</t>
  </si>
  <si>
    <t xml:space="preserve">Суп картофельный с вермишелью на курином бульоне  </t>
  </si>
  <si>
    <t>Блинчики с начинкой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</si>
  <si>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</si>
  <si>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250</t>
  </si>
  <si>
    <t>Гуляш мясной</t>
  </si>
  <si>
    <t>60/50</t>
  </si>
  <si>
    <t>Биточки рыбные</t>
  </si>
  <si>
    <t>Каша рассыпчатая пшенная</t>
  </si>
  <si>
    <t>Плов  с  гречкой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</si>
</sst>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%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2" fontId="0" fillId="33" borderId="0" xfId="0" applyNumberFormat="1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0" fontId="0" fillId="33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1" fontId="0" fillId="33" borderId="10" xfId="53" applyNumberFormat="1" applyFont="1" applyFill="1" applyBorder="1" applyAlignment="1">
      <alignment horizontal="center" vertical="center"/>
      <protection/>
    </xf>
    <xf numFmtId="49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top"/>
    </xf>
    <xf numFmtId="165" fontId="4" fillId="33" borderId="10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 vertical="top"/>
    </xf>
    <xf numFmtId="2" fontId="4" fillId="33" borderId="14" xfId="0" applyNumberFormat="1" applyFont="1" applyFill="1" applyBorder="1" applyAlignment="1">
      <alignment horizontal="left"/>
    </xf>
    <xf numFmtId="10" fontId="4" fillId="33" borderId="10" xfId="62" applyNumberFormat="1" applyFont="1" applyFill="1" applyBorder="1">
      <alignment/>
      <protection/>
    </xf>
    <xf numFmtId="166" fontId="4" fillId="33" borderId="10" xfId="62" applyNumberFormat="1" applyFont="1" applyFill="1" applyBorder="1">
      <alignment/>
      <protection/>
    </xf>
    <xf numFmtId="0" fontId="4" fillId="33" borderId="13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2" fontId="4" fillId="33" borderId="10" xfId="62" applyNumberFormat="1" applyFont="1" applyFill="1" applyBorder="1">
      <alignment/>
      <protection/>
    </xf>
    <xf numFmtId="49" fontId="0" fillId="33" borderId="10" xfId="53" applyNumberFormat="1" applyFont="1" applyFill="1" applyBorder="1" applyAlignment="1">
      <alignment horizontal="center" vertical="center"/>
      <protection/>
    </xf>
    <xf numFmtId="0" fontId="0" fillId="33" borderId="10" xfId="53" applyNumberFormat="1" applyFont="1" applyFill="1" applyBorder="1" applyAlignment="1">
      <alignment horizontal="center" vertical="top" wrapText="1"/>
      <protection/>
    </xf>
    <xf numFmtId="2" fontId="0" fillId="33" borderId="10" xfId="53" applyNumberFormat="1" applyFont="1" applyFill="1" applyBorder="1" applyAlignment="1">
      <alignment horizontal="center" vertical="top" wrapText="1"/>
      <protection/>
    </xf>
    <xf numFmtId="49" fontId="0" fillId="33" borderId="10" xfId="0" applyNumberFormat="1" applyFont="1" applyFill="1" applyBorder="1" applyAlignment="1">
      <alignment horizontal="center" vertical="top"/>
    </xf>
    <xf numFmtId="1" fontId="0" fillId="33" borderId="10" xfId="53" applyNumberFormat="1" applyFont="1" applyFill="1" applyBorder="1" applyAlignment="1">
      <alignment horizontal="center" vertical="top"/>
      <protection/>
    </xf>
    <xf numFmtId="2" fontId="0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left"/>
    </xf>
    <xf numFmtId="10" fontId="4" fillId="33" borderId="0" xfId="62" applyNumberFormat="1" applyFont="1" applyFill="1">
      <alignment/>
      <protection/>
    </xf>
    <xf numFmtId="10" fontId="4" fillId="33" borderId="10" xfId="0" applyNumberFormat="1" applyFont="1" applyFill="1" applyBorder="1" applyAlignment="1">
      <alignment horizontal="center" vertical="top"/>
    </xf>
    <xf numFmtId="166" fontId="4" fillId="33" borderId="10" xfId="0" applyNumberFormat="1" applyFont="1" applyFill="1" applyBorder="1" applyAlignment="1">
      <alignment horizontal="center" vertical="top"/>
    </xf>
    <xf numFmtId="9" fontId="4" fillId="33" borderId="1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Alignment="1">
      <alignment horizontal="right"/>
    </xf>
    <xf numFmtId="2" fontId="4" fillId="33" borderId="0" xfId="0" applyNumberFormat="1" applyFont="1" applyFill="1" applyAlignment="1">
      <alignment horizontal="right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0" fontId="0" fillId="33" borderId="13" xfId="0" applyNumberFormat="1" applyFont="1" applyFill="1" applyBorder="1" applyAlignment="1">
      <alignment horizontal="center" vertical="center"/>
    </xf>
    <xf numFmtId="166" fontId="4" fillId="33" borderId="11" xfId="62" applyNumberFormat="1" applyFont="1" applyFill="1" applyBorder="1">
      <alignment/>
      <protection/>
    </xf>
    <xf numFmtId="0" fontId="5" fillId="33" borderId="15" xfId="0" applyFont="1" applyFill="1" applyBorder="1" applyAlignment="1">
      <alignment horizontal="left"/>
    </xf>
    <xf numFmtId="2" fontId="4" fillId="33" borderId="15" xfId="0" applyNumberFormat="1" applyFont="1" applyFill="1" applyBorder="1" applyAlignment="1">
      <alignment horizontal="left"/>
    </xf>
    <xf numFmtId="2" fontId="0" fillId="33" borderId="13" xfId="0" applyNumberFormat="1" applyFont="1" applyFill="1" applyBorder="1" applyAlignment="1">
      <alignment horizontal="center" vertical="center"/>
    </xf>
    <xf numFmtId="166" fontId="4" fillId="33" borderId="0" xfId="62" applyNumberFormat="1" applyFont="1" applyFill="1">
      <alignment/>
      <protection/>
    </xf>
    <xf numFmtId="1" fontId="4" fillId="33" borderId="10" xfId="0" applyNumberFormat="1" applyFont="1" applyFill="1" applyBorder="1" applyAlignment="1">
      <alignment horizontal="center" vertical="top"/>
    </xf>
    <xf numFmtId="1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 horizontal="right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left" vertic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1" fontId="0" fillId="33" borderId="13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2" fontId="0" fillId="0" borderId="10" xfId="53" applyNumberFormat="1" applyFont="1" applyFill="1" applyBorder="1" applyAlignment="1">
      <alignment horizontal="center" vertical="top"/>
      <protection/>
    </xf>
    <xf numFmtId="0" fontId="4" fillId="0" borderId="15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left"/>
    </xf>
    <xf numFmtId="10" fontId="4" fillId="0" borderId="15" xfId="0" applyNumberFormat="1" applyFont="1" applyFill="1" applyBorder="1" applyAlignment="1">
      <alignment horizontal="center" vertical="top"/>
    </xf>
    <xf numFmtId="10" fontId="4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2" fontId="4" fillId="33" borderId="13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top"/>
    </xf>
    <xf numFmtId="2" fontId="0" fillId="33" borderId="14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vertical="center"/>
    </xf>
    <xf numFmtId="2" fontId="1" fillId="33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" fontId="0" fillId="33" borderId="10" xfId="55" applyNumberFormat="1" applyFont="1" applyFill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top"/>
      <protection/>
    </xf>
    <xf numFmtId="1" fontId="0" fillId="33" borderId="10" xfId="55" applyNumberFormat="1" applyFont="1" applyFill="1" applyBorder="1" applyAlignment="1">
      <alignment horizontal="center" vertical="top"/>
      <protection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center"/>
      <protection/>
    </xf>
    <xf numFmtId="1" fontId="0" fillId="33" borderId="10" xfId="53" applyNumberFormat="1" applyFont="1" applyFill="1" applyBorder="1" applyAlignment="1">
      <alignment horizontal="center" vertical="top"/>
      <protection/>
    </xf>
    <xf numFmtId="0" fontId="0" fillId="33" borderId="13" xfId="55" applyNumberFormat="1" applyFont="1" applyFill="1" applyBorder="1" applyAlignment="1">
      <alignment horizontal="center" vertical="center"/>
      <protection/>
    </xf>
    <xf numFmtId="1" fontId="0" fillId="33" borderId="10" xfId="53" applyNumberFormat="1" applyFont="1" applyFill="1" applyBorder="1" applyAlignment="1">
      <alignment horizontal="center" vertical="center"/>
      <protection/>
    </xf>
    <xf numFmtId="3" fontId="0" fillId="33" borderId="10" xfId="53" applyNumberFormat="1" applyFont="1" applyFill="1" applyBorder="1" applyAlignment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2" fontId="0" fillId="34" borderId="10" xfId="53" applyNumberFormat="1" applyFont="1" applyFill="1" applyBorder="1" applyAlignment="1">
      <alignment horizontal="center" vertical="top"/>
      <protection/>
    </xf>
    <xf numFmtId="0" fontId="0" fillId="34" borderId="10" xfId="55" applyNumberFormat="1" applyFont="1" applyFill="1" applyBorder="1" applyAlignment="1">
      <alignment horizontal="center" vertical="top" wrapText="1"/>
      <protection/>
    </xf>
    <xf numFmtId="2" fontId="0" fillId="34" borderId="10" xfId="55" applyNumberFormat="1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" fontId="0" fillId="34" borderId="10" xfId="55" applyNumberFormat="1" applyFont="1" applyFill="1" applyBorder="1" applyAlignment="1">
      <alignment horizontal="center" vertical="center" wrapText="1"/>
      <protection/>
    </xf>
    <xf numFmtId="1" fontId="0" fillId="34" borderId="10" xfId="0" applyNumberFormat="1" applyFont="1" applyFill="1" applyBorder="1" applyAlignment="1">
      <alignment horizontal="center" vertical="center"/>
    </xf>
    <xf numFmtId="2" fontId="0" fillId="35" borderId="17" xfId="54" applyNumberFormat="1" applyFont="1" applyFill="1" applyBorder="1" applyAlignment="1">
      <alignment horizontal="center" vertical="top"/>
      <protection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53" applyNumberFormat="1" applyFont="1" applyFill="1" applyBorder="1" applyAlignment="1">
      <alignment horizontal="left" vertical="center" wrapText="1"/>
      <protection/>
    </xf>
    <xf numFmtId="0" fontId="0" fillId="34" borderId="13" xfId="55" applyNumberFormat="1" applyFont="1" applyFill="1" applyBorder="1" applyAlignment="1">
      <alignment horizontal="left" vertical="center" wrapText="1"/>
      <protection/>
    </xf>
    <xf numFmtId="0" fontId="0" fillId="34" borderId="14" xfId="55" applyNumberFormat="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0" fillId="33" borderId="10" xfId="53" applyNumberFormat="1" applyFont="1" applyFill="1" applyBorder="1" applyAlignment="1">
      <alignment horizontal="left" vertical="center" wrapText="1"/>
      <protection/>
    </xf>
    <xf numFmtId="2" fontId="0" fillId="33" borderId="10" xfId="53" applyNumberFormat="1" applyFont="1" applyFill="1" applyBorder="1" applyAlignment="1">
      <alignment horizontal="left" vertical="center" wrapText="1"/>
      <protection/>
    </xf>
    <xf numFmtId="0" fontId="0" fillId="33" borderId="14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indent="1"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4" fillId="33" borderId="0" xfId="0" applyNumberFormat="1" applyFont="1" applyFill="1" applyBorder="1" applyAlignment="1">
      <alignment horizontal="left"/>
    </xf>
    <xf numFmtId="10" fontId="4" fillId="33" borderId="10" xfId="0" applyNumberFormat="1" applyFont="1" applyFill="1" applyBorder="1" applyAlignment="1">
      <alignment horizontal="left"/>
    </xf>
    <xf numFmtId="0" fontId="4" fillId="33" borderId="18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left" vertical="center" wrapText="1"/>
    </xf>
    <xf numFmtId="0" fontId="0" fillId="34" borderId="14" xfId="0" applyNumberFormat="1" applyFont="1" applyFill="1" applyBorder="1" applyAlignment="1">
      <alignment horizontal="left" vertical="center" wrapText="1"/>
    </xf>
    <xf numFmtId="1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33" borderId="13" xfId="53" applyNumberFormat="1" applyFont="1" applyFill="1" applyBorder="1" applyAlignment="1">
      <alignment horizontal="left" vertical="center" wrapText="1"/>
      <protection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/>
    </xf>
    <xf numFmtId="10" fontId="4" fillId="33" borderId="13" xfId="0" applyNumberFormat="1" applyFont="1" applyFill="1" applyBorder="1" applyAlignment="1">
      <alignment horizontal="left"/>
    </xf>
    <xf numFmtId="10" fontId="4" fillId="33" borderId="15" xfId="0" applyNumberFormat="1" applyFont="1" applyFill="1" applyBorder="1" applyAlignment="1">
      <alignment horizontal="left"/>
    </xf>
    <xf numFmtId="10" fontId="4" fillId="33" borderId="14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 horizontal="left" indent="1"/>
    </xf>
    <xf numFmtId="0" fontId="4" fillId="33" borderId="15" xfId="0" applyFont="1" applyFill="1" applyBorder="1" applyAlignment="1">
      <alignment horizontal="left" indent="1"/>
    </xf>
    <xf numFmtId="0" fontId="4" fillId="33" borderId="14" xfId="0" applyFont="1" applyFill="1" applyBorder="1" applyAlignment="1">
      <alignment horizontal="left" indent="1"/>
    </xf>
    <xf numFmtId="2" fontId="0" fillId="33" borderId="14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2" fontId="0" fillId="33" borderId="10" xfId="53" applyNumberFormat="1" applyFont="1" applyFill="1" applyBorder="1" applyAlignment="1">
      <alignment horizontal="center" vertical="top"/>
      <protection/>
    </xf>
    <xf numFmtId="0" fontId="0" fillId="33" borderId="10" xfId="53" applyNumberFormat="1" applyFont="1" applyFill="1" applyBorder="1" applyAlignment="1">
      <alignment horizontal="center" vertical="top"/>
      <protection/>
    </xf>
    <xf numFmtId="165" fontId="0" fillId="33" borderId="10" xfId="53" applyNumberFormat="1" applyFont="1" applyFill="1" applyBorder="1" applyAlignment="1">
      <alignment horizontal="center" vertical="top"/>
      <protection/>
    </xf>
    <xf numFmtId="164" fontId="0" fillId="33" borderId="10" xfId="53" applyNumberFormat="1" applyFont="1" applyFill="1" applyBorder="1" applyAlignment="1">
      <alignment horizontal="center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0"/>
  <sheetViews>
    <sheetView tabSelected="1" zoomScale="85" zoomScaleNormal="85" zoomScalePageLayoutView="0" workbookViewId="0" topLeftCell="A145">
      <selection activeCell="H183" sqref="H183"/>
    </sheetView>
  </sheetViews>
  <sheetFormatPr defaultColWidth="9.33203125" defaultRowHeight="11.25"/>
  <cols>
    <col min="1" max="1" width="9.5" style="1" customWidth="1"/>
    <col min="2" max="2" width="16.33203125" style="1" customWidth="1"/>
    <col min="3" max="3" width="25.16015625" style="1" customWidth="1"/>
    <col min="4" max="4" width="8" style="2" customWidth="1"/>
    <col min="5" max="5" width="14.83203125" style="3" customWidth="1"/>
    <col min="6" max="6" width="10.33203125" style="3" customWidth="1"/>
    <col min="7" max="7" width="9.66015625" style="2" customWidth="1"/>
    <col min="8" max="8" width="8.5" style="2" customWidth="1"/>
    <col min="9" max="9" width="10" style="2" customWidth="1"/>
    <col min="10" max="10" width="9" style="2" customWidth="1"/>
    <col min="11" max="11" width="9.83203125" style="2" customWidth="1"/>
    <col min="12" max="12" width="12.33203125" style="2" customWidth="1"/>
    <col min="13" max="13" width="10.33203125" style="2" customWidth="1"/>
    <col min="14" max="14" width="9.5" style="2" customWidth="1"/>
    <col min="15" max="15" width="10.66015625" style="2" customWidth="1"/>
    <col min="16" max="17" width="9.16015625" style="2" customWidth="1"/>
    <col min="18" max="18" width="9" style="2" customWidth="1"/>
    <col min="19" max="19" width="9.5" style="2" customWidth="1"/>
    <col min="20" max="20" width="8.66015625" style="2" customWidth="1"/>
  </cols>
  <sheetData>
    <row r="1" spans="1:20" s="9" customFormat="1" ht="11.25" customHeight="1">
      <c r="A1" s="4"/>
      <c r="B1" s="5"/>
      <c r="C1" s="5"/>
      <c r="D1" s="6"/>
      <c r="E1" s="7"/>
      <c r="F1" s="7"/>
      <c r="G1" s="6"/>
      <c r="H1" s="6"/>
      <c r="I1" s="6"/>
      <c r="J1" s="6"/>
      <c r="K1" s="6"/>
      <c r="L1" s="8"/>
      <c r="M1" s="128" t="s">
        <v>0</v>
      </c>
      <c r="N1" s="128"/>
      <c r="O1" s="128"/>
      <c r="P1" s="128"/>
      <c r="Q1" s="128"/>
      <c r="R1" s="128"/>
      <c r="S1" s="128"/>
      <c r="T1" s="128"/>
    </row>
    <row r="2" spans="1:20" s="9" customFormat="1" ht="15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s="9" customFormat="1" ht="11.25" customHeight="1">
      <c r="A3" s="10" t="s">
        <v>2</v>
      </c>
      <c r="B3" s="5"/>
      <c r="C3" s="5"/>
      <c r="D3" s="8"/>
      <c r="E3" s="11"/>
      <c r="F3" s="7"/>
      <c r="G3" s="130" t="s">
        <v>3</v>
      </c>
      <c r="H3" s="130"/>
      <c r="I3" s="130"/>
      <c r="J3" s="6"/>
      <c r="K3" s="6"/>
      <c r="L3" s="131"/>
      <c r="M3" s="131"/>
      <c r="N3" s="132"/>
      <c r="O3" s="132"/>
      <c r="P3" s="132"/>
      <c r="Q3" s="132"/>
      <c r="R3" s="6"/>
      <c r="S3" s="6"/>
      <c r="T3" s="6"/>
    </row>
    <row r="4" spans="1:20" s="9" customFormat="1" ht="11.25" customHeight="1">
      <c r="A4" s="5"/>
      <c r="B4" s="5"/>
      <c r="C4" s="5"/>
      <c r="D4" s="131" t="s">
        <v>4</v>
      </c>
      <c r="E4" s="131"/>
      <c r="F4" s="131"/>
      <c r="G4" s="12">
        <v>1</v>
      </c>
      <c r="H4" s="6"/>
      <c r="I4" s="8"/>
      <c r="J4" s="8"/>
      <c r="K4" s="8"/>
      <c r="L4" s="131"/>
      <c r="M4" s="131"/>
      <c r="N4" s="130"/>
      <c r="O4" s="130"/>
      <c r="P4" s="130"/>
      <c r="Q4" s="130"/>
      <c r="R4" s="130"/>
      <c r="S4" s="130"/>
      <c r="T4" s="130"/>
    </row>
    <row r="5" spans="1:20" s="9" customFormat="1" ht="21.75" customHeight="1">
      <c r="A5" s="133" t="s">
        <v>5</v>
      </c>
      <c r="B5" s="133" t="s">
        <v>6</v>
      </c>
      <c r="C5" s="133"/>
      <c r="D5" s="133" t="s">
        <v>7</v>
      </c>
      <c r="E5" s="14"/>
      <c r="F5" s="133" t="s">
        <v>8</v>
      </c>
      <c r="G5" s="133"/>
      <c r="H5" s="133"/>
      <c r="I5" s="133" t="s">
        <v>9</v>
      </c>
      <c r="J5" s="133" t="s">
        <v>10</v>
      </c>
      <c r="K5" s="133"/>
      <c r="L5" s="133"/>
      <c r="M5" s="133"/>
      <c r="N5" s="133"/>
      <c r="O5" s="133" t="s">
        <v>11</v>
      </c>
      <c r="P5" s="133"/>
      <c r="Q5" s="133"/>
      <c r="R5" s="133"/>
      <c r="S5" s="133"/>
      <c r="T5" s="133"/>
    </row>
    <row r="6" spans="1:20" s="9" customFormat="1" ht="21" customHeight="1">
      <c r="A6" s="133"/>
      <c r="B6" s="133"/>
      <c r="C6" s="133"/>
      <c r="D6" s="133"/>
      <c r="E6" s="15"/>
      <c r="F6" s="16" t="s">
        <v>12</v>
      </c>
      <c r="G6" s="13" t="s">
        <v>13</v>
      </c>
      <c r="H6" s="13" t="s">
        <v>14</v>
      </c>
      <c r="I6" s="133"/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  <c r="T6" s="13" t="s">
        <v>25</v>
      </c>
    </row>
    <row r="7" spans="1:20" s="9" customFormat="1" ht="11.25" customHeight="1">
      <c r="A7" s="17">
        <v>1</v>
      </c>
      <c r="B7" s="142">
        <v>2</v>
      </c>
      <c r="C7" s="142"/>
      <c r="D7" s="18">
        <v>3</v>
      </c>
      <c r="E7" s="19"/>
      <c r="F7" s="19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</row>
    <row r="8" spans="1:20" s="9" customFormat="1" ht="11.25" customHeight="1">
      <c r="A8" s="143" t="s">
        <v>26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</row>
    <row r="9" spans="1:20" s="6" customFormat="1" ht="11.25" customHeight="1">
      <c r="A9" s="29" t="s">
        <v>30</v>
      </c>
      <c r="B9" s="127" t="s">
        <v>71</v>
      </c>
      <c r="C9" s="127"/>
      <c r="D9" s="24">
        <v>20</v>
      </c>
      <c r="E9" s="23">
        <v>6.6</v>
      </c>
      <c r="F9" s="23">
        <v>1.4</v>
      </c>
      <c r="G9" s="23">
        <v>1.7</v>
      </c>
      <c r="H9" s="23">
        <v>11.1</v>
      </c>
      <c r="I9" s="23">
        <v>65.6</v>
      </c>
      <c r="J9" s="23">
        <v>0.05</v>
      </c>
      <c r="K9" s="23">
        <v>0.04</v>
      </c>
      <c r="L9" s="23">
        <v>0.1</v>
      </c>
      <c r="M9" s="23">
        <v>0.005</v>
      </c>
      <c r="N9" s="23">
        <v>0.02</v>
      </c>
      <c r="O9" s="23">
        <v>30.7</v>
      </c>
      <c r="P9" s="23">
        <v>21.9</v>
      </c>
      <c r="Q9" s="23">
        <v>0.1</v>
      </c>
      <c r="R9" s="23">
        <v>0.001</v>
      </c>
      <c r="S9" s="23">
        <v>3.4</v>
      </c>
      <c r="T9" s="23">
        <v>0.02</v>
      </c>
    </row>
    <row r="10" spans="1:20" s="6" customFormat="1" ht="21.75" customHeight="1">
      <c r="A10" s="124" t="s">
        <v>30</v>
      </c>
      <c r="B10" s="135" t="s">
        <v>117</v>
      </c>
      <c r="C10" s="136"/>
      <c r="D10" s="120">
        <v>120</v>
      </c>
      <c r="E10" s="121">
        <v>30</v>
      </c>
      <c r="F10" s="121">
        <v>6.87</v>
      </c>
      <c r="G10" s="121">
        <v>8.1</v>
      </c>
      <c r="H10" s="121">
        <v>35.43</v>
      </c>
      <c r="I10" s="121">
        <v>241.99</v>
      </c>
      <c r="J10" s="121">
        <v>0.059</v>
      </c>
      <c r="K10" s="121">
        <v>0.244</v>
      </c>
      <c r="L10" s="121">
        <v>0.24</v>
      </c>
      <c r="M10" s="121">
        <v>12.8</v>
      </c>
      <c r="N10" s="121">
        <v>0.54</v>
      </c>
      <c r="O10" s="121">
        <v>30.42</v>
      </c>
      <c r="P10" s="121">
        <v>98.6</v>
      </c>
      <c r="Q10" s="121">
        <v>0.69</v>
      </c>
      <c r="R10" s="121">
        <v>0</v>
      </c>
      <c r="S10" s="121">
        <v>23.5</v>
      </c>
      <c r="T10" s="121">
        <v>0.78</v>
      </c>
    </row>
    <row r="11" spans="1:20" s="6" customFormat="1" ht="12.75" customHeight="1">
      <c r="A11" s="20">
        <v>15</v>
      </c>
      <c r="B11" s="137" t="s">
        <v>27</v>
      </c>
      <c r="C11" s="137"/>
      <c r="D11" s="21" t="s">
        <v>28</v>
      </c>
      <c r="E11" s="22">
        <v>11.25</v>
      </c>
      <c r="F11" s="23">
        <v>0.46</v>
      </c>
      <c r="G11" s="23">
        <v>0.68</v>
      </c>
      <c r="H11" s="23">
        <v>0</v>
      </c>
      <c r="I11" s="23">
        <v>7.98</v>
      </c>
      <c r="J11" s="23">
        <v>0</v>
      </c>
      <c r="K11" s="23">
        <v>0.01</v>
      </c>
      <c r="L11" s="23">
        <v>0.01</v>
      </c>
      <c r="M11" s="23">
        <v>0.005</v>
      </c>
      <c r="N11" s="23">
        <v>0.01</v>
      </c>
      <c r="O11" s="23">
        <v>17.6</v>
      </c>
      <c r="P11" s="23">
        <v>10</v>
      </c>
      <c r="Q11" s="23">
        <v>0.08</v>
      </c>
      <c r="R11" s="23">
        <v>0.004</v>
      </c>
      <c r="S11" s="23">
        <v>0.7</v>
      </c>
      <c r="T11" s="23">
        <v>0.03</v>
      </c>
    </row>
    <row r="12" spans="1:20" s="6" customFormat="1" ht="11.25" customHeight="1">
      <c r="A12" s="111">
        <v>377</v>
      </c>
      <c r="B12" s="139" t="s">
        <v>48</v>
      </c>
      <c r="C12" s="139"/>
      <c r="D12" s="112">
        <v>200</v>
      </c>
      <c r="E12" s="109">
        <v>3.3</v>
      </c>
      <c r="F12" s="109">
        <v>0.26</v>
      </c>
      <c r="G12" s="109">
        <v>0.06</v>
      </c>
      <c r="H12" s="109">
        <v>15.22</v>
      </c>
      <c r="I12" s="109">
        <v>62.46</v>
      </c>
      <c r="J12" s="109">
        <v>0</v>
      </c>
      <c r="K12" s="109">
        <v>0.01</v>
      </c>
      <c r="L12" s="109">
        <v>2.9</v>
      </c>
      <c r="M12" s="109">
        <v>0</v>
      </c>
      <c r="N12" s="109">
        <v>0.06</v>
      </c>
      <c r="O12" s="109">
        <v>8.05</v>
      </c>
      <c r="P12" s="109">
        <v>9.78</v>
      </c>
      <c r="Q12" s="109">
        <v>0.017</v>
      </c>
      <c r="R12" s="109">
        <v>0</v>
      </c>
      <c r="S12" s="109">
        <v>5.24</v>
      </c>
      <c r="T12" s="109">
        <v>0.87</v>
      </c>
    </row>
    <row r="13" spans="1:20" s="6" customFormat="1" ht="12.75" customHeight="1">
      <c r="A13" s="113" t="s">
        <v>30</v>
      </c>
      <c r="B13" s="146" t="s">
        <v>33</v>
      </c>
      <c r="C13" s="144"/>
      <c r="D13" s="108">
        <v>15</v>
      </c>
      <c r="E13" s="107">
        <v>16.14</v>
      </c>
      <c r="F13" s="30">
        <v>0.65</v>
      </c>
      <c r="G13" s="30">
        <v>3.8</v>
      </c>
      <c r="H13" s="30">
        <v>17.6</v>
      </c>
      <c r="I13" s="30">
        <v>38</v>
      </c>
      <c r="J13" s="30">
        <v>0.026</v>
      </c>
      <c r="K13" s="30">
        <v>0.03</v>
      </c>
      <c r="L13" s="30">
        <v>0.13</v>
      </c>
      <c r="M13" s="30">
        <v>11.96</v>
      </c>
      <c r="N13" s="30">
        <v>0.39</v>
      </c>
      <c r="O13" s="30">
        <v>24.18</v>
      </c>
      <c r="P13" s="30">
        <v>49.4</v>
      </c>
      <c r="Q13" s="30">
        <v>0.2</v>
      </c>
      <c r="R13" s="30">
        <v>0.002</v>
      </c>
      <c r="S13" s="30">
        <v>18.72</v>
      </c>
      <c r="T13" s="30">
        <v>0.182</v>
      </c>
    </row>
    <row r="14" spans="1:20" s="9" customFormat="1" ht="11.25" customHeight="1">
      <c r="A14" s="32" t="s">
        <v>34</v>
      </c>
      <c r="B14" s="33"/>
      <c r="C14" s="33"/>
      <c r="D14" s="34">
        <v>400</v>
      </c>
      <c r="E14" s="35">
        <f>SUM(E9:E13)</f>
        <v>67.28999999999999</v>
      </c>
      <c r="F14" s="36">
        <f>SUM(F9:F13)</f>
        <v>9.64</v>
      </c>
      <c r="G14" s="36">
        <f aca="true" t="shared" si="0" ref="G14:T14">SUM(G9:G13)</f>
        <v>14.34</v>
      </c>
      <c r="H14" s="36">
        <f t="shared" si="0"/>
        <v>79.35</v>
      </c>
      <c r="I14" s="36">
        <f t="shared" si="0"/>
        <v>416.03000000000003</v>
      </c>
      <c r="J14" s="36">
        <f t="shared" si="0"/>
        <v>0.135</v>
      </c>
      <c r="K14" s="36">
        <f t="shared" si="0"/>
        <v>0.33399999999999996</v>
      </c>
      <c r="L14" s="36">
        <f t="shared" si="0"/>
        <v>3.38</v>
      </c>
      <c r="M14" s="36">
        <f t="shared" si="0"/>
        <v>24.770000000000003</v>
      </c>
      <c r="N14" s="36">
        <f t="shared" si="0"/>
        <v>1.02</v>
      </c>
      <c r="O14" s="36">
        <f t="shared" si="0"/>
        <v>110.94999999999999</v>
      </c>
      <c r="P14" s="36">
        <f t="shared" si="0"/>
        <v>189.68</v>
      </c>
      <c r="Q14" s="36">
        <f t="shared" si="0"/>
        <v>1.087</v>
      </c>
      <c r="R14" s="36">
        <f t="shared" si="0"/>
        <v>0.007</v>
      </c>
      <c r="S14" s="36">
        <f t="shared" si="0"/>
        <v>51.559999999999995</v>
      </c>
      <c r="T14" s="36">
        <f t="shared" si="0"/>
        <v>1.8820000000000001</v>
      </c>
    </row>
    <row r="15" spans="1:20" s="9" customFormat="1" ht="11.25" customHeight="1">
      <c r="A15" s="138" t="s">
        <v>35</v>
      </c>
      <c r="B15" s="138"/>
      <c r="C15" s="138"/>
      <c r="D15" s="138"/>
      <c r="E15" s="39"/>
      <c r="F15" s="40">
        <f aca="true" t="shared" si="1" ref="F15:T15">F14/F34</f>
        <v>0.10711111111111112</v>
      </c>
      <c r="G15" s="41">
        <f t="shared" si="1"/>
        <v>0.15586956521739131</v>
      </c>
      <c r="H15" s="41">
        <f t="shared" si="1"/>
        <v>0.20718015665796344</v>
      </c>
      <c r="I15" s="41">
        <f t="shared" si="1"/>
        <v>0.15295220588235295</v>
      </c>
      <c r="J15" s="41">
        <f t="shared" si="1"/>
        <v>0.09642857142857145</v>
      </c>
      <c r="K15" s="41">
        <f t="shared" si="1"/>
        <v>0.20874999999999996</v>
      </c>
      <c r="L15" s="41">
        <f t="shared" si="1"/>
        <v>0.048285714285714286</v>
      </c>
      <c r="M15" s="41">
        <f t="shared" si="1"/>
        <v>27.522222222222226</v>
      </c>
      <c r="N15" s="41">
        <f t="shared" si="1"/>
        <v>0.085</v>
      </c>
      <c r="O15" s="41">
        <f t="shared" si="1"/>
        <v>0.09245833333333332</v>
      </c>
      <c r="P15" s="41">
        <f t="shared" si="1"/>
        <v>0.15806666666666666</v>
      </c>
      <c r="Q15" s="41">
        <f t="shared" si="1"/>
        <v>0.07764285714285714</v>
      </c>
      <c r="R15" s="41">
        <f t="shared" si="1"/>
        <v>0.06999999999999999</v>
      </c>
      <c r="S15" s="41">
        <f t="shared" si="1"/>
        <v>0.17186666666666664</v>
      </c>
      <c r="T15" s="41">
        <f t="shared" si="1"/>
        <v>0.10455555555555557</v>
      </c>
    </row>
    <row r="16" spans="1:20" s="9" customFormat="1" ht="11.25" customHeight="1">
      <c r="A16" s="42"/>
      <c r="B16" s="43"/>
      <c r="C16" s="43"/>
      <c r="D16" s="44"/>
      <c r="E16" s="39"/>
      <c r="F16" s="45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s="9" customFormat="1" ht="11.25" customHeight="1">
      <c r="A17" s="143" t="s">
        <v>36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  <row r="18" spans="1:20" s="6" customFormat="1" ht="18.75" customHeight="1">
      <c r="A18" s="46" t="s">
        <v>37</v>
      </c>
      <c r="B18" s="134" t="s">
        <v>38</v>
      </c>
      <c r="C18" s="134"/>
      <c r="D18" s="47">
        <v>60</v>
      </c>
      <c r="E18" s="48">
        <v>2.82</v>
      </c>
      <c r="F18" s="48">
        <v>0.9</v>
      </c>
      <c r="G18" s="48">
        <v>1.31</v>
      </c>
      <c r="H18" s="48">
        <v>5.6</v>
      </c>
      <c r="I18" s="48">
        <v>37.79</v>
      </c>
      <c r="J18" s="48">
        <v>0.06</v>
      </c>
      <c r="K18" s="48">
        <v>0.07</v>
      </c>
      <c r="L18" s="48">
        <v>15.5</v>
      </c>
      <c r="M18" s="48">
        <v>0.071</v>
      </c>
      <c r="N18" s="48">
        <v>0.3</v>
      </c>
      <c r="O18" s="48">
        <v>28.2</v>
      </c>
      <c r="P18" s="48">
        <v>18.9</v>
      </c>
      <c r="Q18" s="48">
        <v>0.2</v>
      </c>
      <c r="R18" s="48">
        <v>0.001</v>
      </c>
      <c r="S18" s="48">
        <v>10.5</v>
      </c>
      <c r="T18" s="48">
        <v>0.6</v>
      </c>
    </row>
    <row r="19" spans="1:20" s="6" customFormat="1" ht="22.5" customHeight="1">
      <c r="A19" s="17">
        <v>102</v>
      </c>
      <c r="B19" s="127" t="s">
        <v>39</v>
      </c>
      <c r="C19" s="127"/>
      <c r="D19" s="49" t="s">
        <v>119</v>
      </c>
      <c r="E19" s="23">
        <v>8.2</v>
      </c>
      <c r="F19" s="28">
        <v>6.22</v>
      </c>
      <c r="G19" s="28">
        <v>3.99</v>
      </c>
      <c r="H19" s="28">
        <v>21.73</v>
      </c>
      <c r="I19" s="28">
        <v>147.71</v>
      </c>
      <c r="J19" s="28">
        <v>0.27</v>
      </c>
      <c r="K19" s="28">
        <v>0.09</v>
      </c>
      <c r="L19" s="28">
        <v>9</v>
      </c>
      <c r="M19" s="28">
        <v>0.001</v>
      </c>
      <c r="N19" s="28">
        <v>0.257</v>
      </c>
      <c r="O19" s="28">
        <v>54.13</v>
      </c>
      <c r="P19" s="28">
        <v>183.2</v>
      </c>
      <c r="Q19" s="28">
        <v>1.157</v>
      </c>
      <c r="R19" s="28">
        <v>0.013</v>
      </c>
      <c r="S19" s="28">
        <v>49.63</v>
      </c>
      <c r="T19" s="28">
        <v>1.03</v>
      </c>
    </row>
    <row r="20" spans="1:20" s="6" customFormat="1" ht="22.5" customHeight="1">
      <c r="A20" s="17">
        <v>268</v>
      </c>
      <c r="B20" s="127" t="s">
        <v>40</v>
      </c>
      <c r="C20" s="127"/>
      <c r="D20" s="24">
        <v>80</v>
      </c>
      <c r="E20" s="23">
        <v>32.82</v>
      </c>
      <c r="F20" s="28">
        <v>13.460000000000003</v>
      </c>
      <c r="G20" s="28">
        <v>10.86</v>
      </c>
      <c r="H20" s="28">
        <v>5.34</v>
      </c>
      <c r="I20" s="28">
        <v>172.948</v>
      </c>
      <c r="J20" s="28">
        <v>0.07</v>
      </c>
      <c r="K20" s="28">
        <v>0.23000000000000004</v>
      </c>
      <c r="L20" s="28">
        <v>0.75</v>
      </c>
      <c r="M20" s="28">
        <v>0.2</v>
      </c>
      <c r="N20" s="28">
        <v>0.021</v>
      </c>
      <c r="O20" s="28">
        <v>73.74</v>
      </c>
      <c r="P20" s="28">
        <v>184.82</v>
      </c>
      <c r="Q20" s="28">
        <v>2.28</v>
      </c>
      <c r="R20" s="28">
        <v>0.03</v>
      </c>
      <c r="S20" s="28">
        <v>29.860000000000003</v>
      </c>
      <c r="T20" s="28">
        <v>1.9300000000000002</v>
      </c>
    </row>
    <row r="21" spans="1:20" s="6" customFormat="1" ht="24" customHeight="1">
      <c r="A21" s="17">
        <v>202</v>
      </c>
      <c r="B21" s="127" t="s">
        <v>41</v>
      </c>
      <c r="C21" s="127"/>
      <c r="D21" s="24">
        <v>180</v>
      </c>
      <c r="E21" s="23">
        <v>7.93</v>
      </c>
      <c r="F21" s="28">
        <v>6.84</v>
      </c>
      <c r="G21" s="28">
        <v>4.116</v>
      </c>
      <c r="H21" s="28">
        <v>43.74</v>
      </c>
      <c r="I21" s="28">
        <v>239.364</v>
      </c>
      <c r="J21" s="28">
        <v>0.108</v>
      </c>
      <c r="K21" s="28">
        <v>0.036</v>
      </c>
      <c r="L21" s="28">
        <v>0</v>
      </c>
      <c r="M21" s="28">
        <v>0.036</v>
      </c>
      <c r="N21" s="28">
        <v>1.5</v>
      </c>
      <c r="O21" s="28">
        <v>15.936</v>
      </c>
      <c r="P21" s="28">
        <v>55.452</v>
      </c>
      <c r="Q21" s="28">
        <v>0.936</v>
      </c>
      <c r="R21" s="28">
        <v>0.002</v>
      </c>
      <c r="S21" s="28">
        <v>10.164</v>
      </c>
      <c r="T21" s="28">
        <v>1.032</v>
      </c>
    </row>
    <row r="22" spans="1:20" s="6" customFormat="1" ht="30" customHeight="1">
      <c r="A22" s="29">
        <v>349</v>
      </c>
      <c r="B22" s="127" t="s">
        <v>42</v>
      </c>
      <c r="C22" s="127"/>
      <c r="D22" s="24">
        <v>200</v>
      </c>
      <c r="E22" s="23">
        <v>5.76</v>
      </c>
      <c r="F22" s="28">
        <v>0.2</v>
      </c>
      <c r="G22" s="28">
        <v>0</v>
      </c>
      <c r="H22" s="28">
        <v>24.42</v>
      </c>
      <c r="I22" s="28">
        <v>98.56</v>
      </c>
      <c r="J22" s="28">
        <v>0</v>
      </c>
      <c r="K22" s="28">
        <v>0</v>
      </c>
      <c r="L22" s="28">
        <v>26.11</v>
      </c>
      <c r="M22" s="28">
        <v>0</v>
      </c>
      <c r="N22" s="28">
        <v>0</v>
      </c>
      <c r="O22" s="28">
        <v>22.6</v>
      </c>
      <c r="P22" s="28">
        <v>7.7</v>
      </c>
      <c r="Q22" s="28">
        <v>0</v>
      </c>
      <c r="R22" s="28">
        <v>0</v>
      </c>
      <c r="S22" s="28">
        <v>3</v>
      </c>
      <c r="T22" s="28">
        <v>0.66</v>
      </c>
    </row>
    <row r="23" spans="1:20" s="6" customFormat="1" ht="11.25" customHeight="1">
      <c r="A23" s="51" t="s">
        <v>30</v>
      </c>
      <c r="B23" s="127" t="s">
        <v>43</v>
      </c>
      <c r="C23" s="127"/>
      <c r="D23" s="24">
        <v>40</v>
      </c>
      <c r="E23" s="23">
        <v>1.88</v>
      </c>
      <c r="F23" s="23">
        <f>2.64*D23/40</f>
        <v>2.64</v>
      </c>
      <c r="G23" s="23">
        <f>0.48*D23/40</f>
        <v>0.48</v>
      </c>
      <c r="H23" s="23">
        <f>13.68*D23/40</f>
        <v>13.680000000000001</v>
      </c>
      <c r="I23" s="23">
        <f>F23*4+G23*9+H23*4</f>
        <v>69.60000000000001</v>
      </c>
      <c r="J23" s="23">
        <f>0.08*D23/40</f>
        <v>0.08</v>
      </c>
      <c r="K23" s="23">
        <f>0.04*D23/40</f>
        <v>0.04</v>
      </c>
      <c r="L23" s="23">
        <v>0</v>
      </c>
      <c r="M23" s="23">
        <v>0</v>
      </c>
      <c r="N23" s="23">
        <f>2.4*D23/40</f>
        <v>2.4</v>
      </c>
      <c r="O23" s="23">
        <f>14*D23/40</f>
        <v>14</v>
      </c>
      <c r="P23" s="23">
        <f>63.2*D23/40</f>
        <v>63.2</v>
      </c>
      <c r="Q23" s="23">
        <f>1.2*D23/40</f>
        <v>1.2</v>
      </c>
      <c r="R23" s="23">
        <f>0.001*D23/40</f>
        <v>0.001</v>
      </c>
      <c r="S23" s="23">
        <f>9.4*D23/40</f>
        <v>9.4</v>
      </c>
      <c r="T23" s="23">
        <f>0.78*D23/40</f>
        <v>0.78</v>
      </c>
    </row>
    <row r="24" spans="1:20" s="6" customFormat="1" ht="11.25" customHeight="1">
      <c r="A24" s="51" t="s">
        <v>30</v>
      </c>
      <c r="B24" s="127" t="s">
        <v>44</v>
      </c>
      <c r="C24" s="127"/>
      <c r="D24" s="24">
        <v>130</v>
      </c>
      <c r="E24" s="23">
        <v>30.59</v>
      </c>
      <c r="F24" s="28">
        <v>0.9</v>
      </c>
      <c r="G24" s="28">
        <v>0.2</v>
      </c>
      <c r="H24" s="28">
        <v>8.1</v>
      </c>
      <c r="I24" s="28">
        <v>136.6</v>
      </c>
      <c r="J24" s="28">
        <v>0.04</v>
      </c>
      <c r="K24" s="28">
        <v>0.03</v>
      </c>
      <c r="L24" s="28">
        <v>60</v>
      </c>
      <c r="M24" s="28">
        <v>0</v>
      </c>
      <c r="N24" s="28">
        <v>0.2</v>
      </c>
      <c r="O24" s="28">
        <v>34</v>
      </c>
      <c r="P24" s="28">
        <v>23</v>
      </c>
      <c r="Q24" s="28">
        <v>0.2</v>
      </c>
      <c r="R24" s="28">
        <v>0</v>
      </c>
      <c r="S24" s="28">
        <v>15</v>
      </c>
      <c r="T24" s="28">
        <v>0.3</v>
      </c>
    </row>
    <row r="25" spans="1:20" s="9" customFormat="1" ht="11.25" customHeight="1">
      <c r="A25" s="33" t="s">
        <v>45</v>
      </c>
      <c r="B25" s="33"/>
      <c r="C25" s="33"/>
      <c r="D25" s="33">
        <f>SUM(D18:D24)</f>
        <v>690</v>
      </c>
      <c r="E25" s="35">
        <f>SUM(E18:E24)</f>
        <v>90</v>
      </c>
      <c r="F25" s="36">
        <f>SUM(F18:F24)</f>
        <v>31.16</v>
      </c>
      <c r="G25" s="36">
        <f aca="true" t="shared" si="2" ref="G25:T25">SUM(G18:G24)</f>
        <v>20.956</v>
      </c>
      <c r="H25" s="36">
        <f t="shared" si="2"/>
        <v>122.61</v>
      </c>
      <c r="I25" s="36">
        <f t="shared" si="2"/>
        <v>902.5720000000001</v>
      </c>
      <c r="J25" s="36">
        <f t="shared" si="2"/>
        <v>0.628</v>
      </c>
      <c r="K25" s="36">
        <f t="shared" si="2"/>
        <v>0.496</v>
      </c>
      <c r="L25" s="36">
        <f t="shared" si="2"/>
        <v>111.36</v>
      </c>
      <c r="M25" s="36">
        <f t="shared" si="2"/>
        <v>0.308</v>
      </c>
      <c r="N25" s="36">
        <f t="shared" si="2"/>
        <v>4.678</v>
      </c>
      <c r="O25" s="36">
        <f t="shared" si="2"/>
        <v>242.606</v>
      </c>
      <c r="P25" s="36">
        <f t="shared" si="2"/>
        <v>536.2719999999999</v>
      </c>
      <c r="Q25" s="36">
        <f t="shared" si="2"/>
        <v>5.973</v>
      </c>
      <c r="R25" s="36">
        <f t="shared" si="2"/>
        <v>0.047</v>
      </c>
      <c r="S25" s="36">
        <f t="shared" si="2"/>
        <v>127.55400000000002</v>
      </c>
      <c r="T25" s="36">
        <f t="shared" si="2"/>
        <v>6.332000000000001</v>
      </c>
    </row>
    <row r="26" spans="1:20" s="9" customFormat="1" ht="11.25" customHeight="1">
      <c r="A26" s="138" t="s">
        <v>35</v>
      </c>
      <c r="B26" s="138"/>
      <c r="C26" s="138"/>
      <c r="D26" s="138"/>
      <c r="E26" s="39"/>
      <c r="F26" s="40">
        <f aca="true" t="shared" si="3" ref="F26:T26">F25/F34</f>
        <v>0.3462222222222222</v>
      </c>
      <c r="G26" s="41">
        <f t="shared" si="3"/>
        <v>0.22778260869565217</v>
      </c>
      <c r="H26" s="41">
        <f t="shared" si="3"/>
        <v>0.3201305483028721</v>
      </c>
      <c r="I26" s="41">
        <f t="shared" si="3"/>
        <v>0.33182794117647063</v>
      </c>
      <c r="J26" s="41">
        <f t="shared" si="3"/>
        <v>0.4485714285714286</v>
      </c>
      <c r="K26" s="41">
        <f t="shared" si="3"/>
        <v>0.31</v>
      </c>
      <c r="L26" s="41">
        <f t="shared" si="3"/>
        <v>1.5908571428571427</v>
      </c>
      <c r="M26" s="41">
        <f t="shared" si="3"/>
        <v>0.3422222222222222</v>
      </c>
      <c r="N26" s="41">
        <f t="shared" si="3"/>
        <v>0.3898333333333333</v>
      </c>
      <c r="O26" s="41">
        <f t="shared" si="3"/>
        <v>0.20217166666666667</v>
      </c>
      <c r="P26" s="41">
        <f t="shared" si="3"/>
        <v>0.44689333333333325</v>
      </c>
      <c r="Q26" s="41">
        <f t="shared" si="3"/>
        <v>0.42664285714285716</v>
      </c>
      <c r="R26" s="41">
        <f t="shared" si="3"/>
        <v>0.47</v>
      </c>
      <c r="S26" s="41">
        <f t="shared" si="3"/>
        <v>0.42518000000000006</v>
      </c>
      <c r="T26" s="41">
        <f t="shared" si="3"/>
        <v>0.3517777777777778</v>
      </c>
    </row>
    <row r="27" spans="1:20" s="9" customFormat="1" ht="11.25" customHeight="1">
      <c r="A27" s="52"/>
      <c r="B27" s="43"/>
      <c r="C27" s="43"/>
      <c r="D27" s="44"/>
      <c r="E27" s="39"/>
      <c r="F27" s="45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s="9" customFormat="1" ht="11.25" customHeight="1">
      <c r="A28" s="143" t="s">
        <v>46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0" s="9" customFormat="1" ht="16.5" customHeight="1">
      <c r="A29" s="17"/>
      <c r="B29" s="127" t="s">
        <v>47</v>
      </c>
      <c r="C29" s="127"/>
      <c r="D29" s="24">
        <v>80</v>
      </c>
      <c r="E29" s="23">
        <v>26.7</v>
      </c>
      <c r="F29" s="23">
        <f>0.39*D29/60</f>
        <v>0.52</v>
      </c>
      <c r="G29" s="23">
        <f>0.18*D29/60</f>
        <v>0.23999999999999996</v>
      </c>
      <c r="H29" s="23">
        <f>5.37*D29/60</f>
        <v>7.16</v>
      </c>
      <c r="I29" s="23">
        <f>F29*4+G29*9+H29*4</f>
        <v>32.88</v>
      </c>
      <c r="J29" s="23">
        <f>0.02*D29/60</f>
        <v>0.02666666666666667</v>
      </c>
      <c r="K29" s="23">
        <f>0.02*D29/60</f>
        <v>0.02666666666666667</v>
      </c>
      <c r="L29" s="23">
        <f>22.95*D29/60</f>
        <v>30.6</v>
      </c>
      <c r="M29" s="23">
        <f>0.02*D29/60</f>
        <v>0.02666666666666667</v>
      </c>
      <c r="N29" s="23">
        <f>0.6*D29/60</f>
        <v>0.8</v>
      </c>
      <c r="O29" s="23">
        <f>15*D29/60</f>
        <v>20</v>
      </c>
      <c r="P29" s="23">
        <f>10.2*D29/60</f>
        <v>13.6</v>
      </c>
      <c r="Q29" s="23">
        <f>0.13*D29/60</f>
        <v>0.17333333333333334</v>
      </c>
      <c r="R29" s="23">
        <f>0.001*D29/60</f>
        <v>0.0013333333333333333</v>
      </c>
      <c r="S29" s="23">
        <f>6.6*D29/60</f>
        <v>8.8</v>
      </c>
      <c r="T29" s="23">
        <f>0.75*D29/60</f>
        <v>1</v>
      </c>
    </row>
    <row r="30" spans="1:20" s="6" customFormat="1" ht="12.75" customHeight="1">
      <c r="A30" s="31">
        <v>377</v>
      </c>
      <c r="B30" s="134" t="s">
        <v>48</v>
      </c>
      <c r="C30" s="134"/>
      <c r="D30" s="50">
        <v>200</v>
      </c>
      <c r="E30" s="28">
        <v>3.3</v>
      </c>
      <c r="F30" s="109">
        <v>0.26</v>
      </c>
      <c r="G30" s="109">
        <v>0.06</v>
      </c>
      <c r="H30" s="109">
        <v>15.22</v>
      </c>
      <c r="I30" s="109">
        <v>62.46</v>
      </c>
      <c r="J30" s="109">
        <v>0</v>
      </c>
      <c r="K30" s="109">
        <v>0.01</v>
      </c>
      <c r="L30" s="109">
        <v>2.9</v>
      </c>
      <c r="M30" s="109">
        <v>0</v>
      </c>
      <c r="N30" s="109">
        <v>0.06</v>
      </c>
      <c r="O30" s="109">
        <v>8.05</v>
      </c>
      <c r="P30" s="109">
        <v>9.78</v>
      </c>
      <c r="Q30" s="109">
        <v>0.017</v>
      </c>
      <c r="R30" s="109">
        <v>0</v>
      </c>
      <c r="S30" s="109">
        <v>5.24</v>
      </c>
      <c r="T30" s="109">
        <v>0.87</v>
      </c>
    </row>
    <row r="31" spans="1:20" s="9" customFormat="1" ht="11.25" customHeight="1">
      <c r="A31" s="54" t="s">
        <v>49</v>
      </c>
      <c r="B31" s="55"/>
      <c r="C31" s="55"/>
      <c r="D31" s="34">
        <f>SUM(D29:D30)</f>
        <v>280</v>
      </c>
      <c r="E31" s="35">
        <f>SUM(E29:E30)</f>
        <v>30</v>
      </c>
      <c r="F31" s="35">
        <f>SUM(F29:F30)</f>
        <v>0.78</v>
      </c>
      <c r="G31" s="35">
        <f aca="true" t="shared" si="4" ref="G31:T31">SUM(G29:G30)</f>
        <v>0.29999999999999993</v>
      </c>
      <c r="H31" s="35">
        <f t="shared" si="4"/>
        <v>22.380000000000003</v>
      </c>
      <c r="I31" s="35">
        <f t="shared" si="4"/>
        <v>95.34</v>
      </c>
      <c r="J31" s="35">
        <f t="shared" si="4"/>
        <v>0.02666666666666667</v>
      </c>
      <c r="K31" s="35">
        <f t="shared" si="4"/>
        <v>0.03666666666666667</v>
      </c>
      <c r="L31" s="35">
        <f t="shared" si="4"/>
        <v>33.5</v>
      </c>
      <c r="M31" s="35">
        <f t="shared" si="4"/>
        <v>0.02666666666666667</v>
      </c>
      <c r="N31" s="35">
        <f t="shared" si="4"/>
        <v>0.8600000000000001</v>
      </c>
      <c r="O31" s="35">
        <f t="shared" si="4"/>
        <v>28.05</v>
      </c>
      <c r="P31" s="35">
        <f t="shared" si="4"/>
        <v>23.38</v>
      </c>
      <c r="Q31" s="35">
        <f t="shared" si="4"/>
        <v>0.19033333333333335</v>
      </c>
      <c r="R31" s="35">
        <f t="shared" si="4"/>
        <v>0.0013333333333333333</v>
      </c>
      <c r="S31" s="35">
        <f t="shared" si="4"/>
        <v>14.040000000000001</v>
      </c>
      <c r="T31" s="35">
        <f t="shared" si="4"/>
        <v>1.87</v>
      </c>
    </row>
    <row r="32" spans="1:20" s="9" customFormat="1" ht="11.25" customHeight="1">
      <c r="A32" s="138" t="s">
        <v>35</v>
      </c>
      <c r="B32" s="138"/>
      <c r="C32" s="138"/>
      <c r="D32" s="138"/>
      <c r="E32" s="56"/>
      <c r="F32" s="57">
        <f aca="true" t="shared" si="5" ref="F32:T32">F31/F34</f>
        <v>0.008666666666666666</v>
      </c>
      <c r="G32" s="41">
        <f t="shared" si="5"/>
        <v>0.0032608695652173907</v>
      </c>
      <c r="H32" s="41">
        <f t="shared" si="5"/>
        <v>0.058433420365535255</v>
      </c>
      <c r="I32" s="41">
        <f t="shared" si="5"/>
        <v>0.035051470588235295</v>
      </c>
      <c r="J32" s="41">
        <f t="shared" si="5"/>
        <v>0.01904761904761905</v>
      </c>
      <c r="K32" s="41">
        <f t="shared" si="5"/>
        <v>0.022916666666666665</v>
      </c>
      <c r="L32" s="41">
        <f t="shared" si="5"/>
        <v>0.4785714285714286</v>
      </c>
      <c r="M32" s="41">
        <f t="shared" si="5"/>
        <v>0.02962962962962963</v>
      </c>
      <c r="N32" s="41">
        <f t="shared" si="5"/>
        <v>0.07166666666666667</v>
      </c>
      <c r="O32" s="41">
        <f t="shared" si="5"/>
        <v>0.023375</v>
      </c>
      <c r="P32" s="41">
        <f t="shared" si="5"/>
        <v>0.01948333333333333</v>
      </c>
      <c r="Q32" s="41">
        <f t="shared" si="5"/>
        <v>0.013595238095238096</v>
      </c>
      <c r="R32" s="41">
        <f t="shared" si="5"/>
        <v>0.013333333333333332</v>
      </c>
      <c r="S32" s="41">
        <f t="shared" si="5"/>
        <v>0.0468</v>
      </c>
      <c r="T32" s="41">
        <f t="shared" si="5"/>
        <v>0.10388888888888889</v>
      </c>
    </row>
    <row r="33" spans="1:20" s="9" customFormat="1" ht="11.25" customHeight="1">
      <c r="A33" s="138" t="s">
        <v>50</v>
      </c>
      <c r="B33" s="138"/>
      <c r="C33" s="138"/>
      <c r="D33" s="138"/>
      <c r="E33" s="39"/>
      <c r="F33" s="36">
        <f aca="true" t="shared" si="6" ref="F33:T33">SUM(F14,F25,F31)</f>
        <v>41.58</v>
      </c>
      <c r="G33" s="37">
        <f t="shared" si="6"/>
        <v>35.596</v>
      </c>
      <c r="H33" s="37">
        <f t="shared" si="6"/>
        <v>224.33999999999997</v>
      </c>
      <c r="I33" s="37">
        <f t="shared" si="6"/>
        <v>1413.942</v>
      </c>
      <c r="J33" s="36">
        <f t="shared" si="6"/>
        <v>0.7896666666666666</v>
      </c>
      <c r="K33" s="36">
        <f t="shared" si="6"/>
        <v>0.8666666666666666</v>
      </c>
      <c r="L33" s="36">
        <f t="shared" si="6"/>
        <v>148.24</v>
      </c>
      <c r="M33" s="36">
        <f t="shared" si="6"/>
        <v>25.10466666666667</v>
      </c>
      <c r="N33" s="36">
        <f t="shared" si="6"/>
        <v>6.558000000000001</v>
      </c>
      <c r="O33" s="36">
        <f t="shared" si="6"/>
        <v>381.606</v>
      </c>
      <c r="P33" s="37">
        <f t="shared" si="6"/>
        <v>749.332</v>
      </c>
      <c r="Q33" s="38">
        <f t="shared" si="6"/>
        <v>7.250333333333333</v>
      </c>
      <c r="R33" s="38">
        <f t="shared" si="6"/>
        <v>0.05533333333333333</v>
      </c>
      <c r="S33" s="36">
        <f t="shared" si="6"/>
        <v>193.154</v>
      </c>
      <c r="T33" s="36">
        <f t="shared" si="6"/>
        <v>10.084</v>
      </c>
    </row>
    <row r="34" spans="1:20" s="9" customFormat="1" ht="11.25" customHeight="1">
      <c r="A34" s="138" t="s">
        <v>51</v>
      </c>
      <c r="B34" s="138"/>
      <c r="C34" s="138"/>
      <c r="D34" s="138"/>
      <c r="E34" s="39"/>
      <c r="F34" s="23">
        <v>90</v>
      </c>
      <c r="G34" s="53">
        <v>92</v>
      </c>
      <c r="H34" s="53">
        <v>383</v>
      </c>
      <c r="I34" s="53">
        <v>2720</v>
      </c>
      <c r="J34" s="23">
        <v>1.4</v>
      </c>
      <c r="K34" s="23">
        <v>1.6</v>
      </c>
      <c r="L34" s="24">
        <v>70</v>
      </c>
      <c r="M34" s="23">
        <v>0.9</v>
      </c>
      <c r="N34" s="24">
        <v>12</v>
      </c>
      <c r="O34" s="24">
        <v>1200</v>
      </c>
      <c r="P34" s="24">
        <v>1200</v>
      </c>
      <c r="Q34" s="24">
        <v>14</v>
      </c>
      <c r="R34" s="53">
        <v>0.1</v>
      </c>
      <c r="S34" s="24">
        <v>300</v>
      </c>
      <c r="T34" s="23">
        <v>18</v>
      </c>
    </row>
    <row r="35" spans="1:20" s="9" customFormat="1" ht="11.25" customHeight="1">
      <c r="A35" s="138" t="s">
        <v>35</v>
      </c>
      <c r="B35" s="138"/>
      <c r="C35" s="138"/>
      <c r="D35" s="138"/>
      <c r="E35" s="39"/>
      <c r="F35" s="58">
        <f aca="true" t="shared" si="7" ref="F35:T35">F33/F34</f>
        <v>0.46199999999999997</v>
      </c>
      <c r="G35" s="41">
        <f t="shared" si="7"/>
        <v>0.38691304347826083</v>
      </c>
      <c r="H35" s="59">
        <f t="shared" si="7"/>
        <v>0.5857441253263707</v>
      </c>
      <c r="I35" s="59">
        <f t="shared" si="7"/>
        <v>0.5198316176470589</v>
      </c>
      <c r="J35" s="59">
        <f t="shared" si="7"/>
        <v>0.564047619047619</v>
      </c>
      <c r="K35" s="59">
        <f t="shared" si="7"/>
        <v>0.5416666666666666</v>
      </c>
      <c r="L35" s="59">
        <f t="shared" si="7"/>
        <v>2.117714285714286</v>
      </c>
      <c r="M35" s="60">
        <f t="shared" si="7"/>
        <v>27.894074074074076</v>
      </c>
      <c r="N35" s="59">
        <f t="shared" si="7"/>
        <v>0.5465000000000001</v>
      </c>
      <c r="O35" s="59">
        <f t="shared" si="7"/>
        <v>0.318005</v>
      </c>
      <c r="P35" s="59">
        <f t="shared" si="7"/>
        <v>0.6244433333333334</v>
      </c>
      <c r="Q35" s="59">
        <f t="shared" si="7"/>
        <v>0.5178809523809523</v>
      </c>
      <c r="R35" s="59">
        <f t="shared" si="7"/>
        <v>0.5533333333333332</v>
      </c>
      <c r="S35" s="59">
        <f t="shared" si="7"/>
        <v>0.6438466666666667</v>
      </c>
      <c r="T35" s="60">
        <f t="shared" si="7"/>
        <v>0.5602222222222222</v>
      </c>
    </row>
    <row r="36" spans="1:20" s="9" customFormat="1" ht="11.25" customHeight="1">
      <c r="A36" s="5"/>
      <c r="B36" s="5"/>
      <c r="C36" s="61"/>
      <c r="D36" s="61"/>
      <c r="E36" s="62"/>
      <c r="F36" s="11"/>
      <c r="G36" s="6"/>
      <c r="H36" s="8"/>
      <c r="I36" s="8"/>
      <c r="J36" s="6"/>
      <c r="K36" s="6"/>
      <c r="L36" s="6"/>
      <c r="M36" s="128" t="s">
        <v>0</v>
      </c>
      <c r="N36" s="128"/>
      <c r="O36" s="128"/>
      <c r="P36" s="128"/>
      <c r="Q36" s="128"/>
      <c r="R36" s="128"/>
      <c r="S36" s="128"/>
      <c r="T36" s="128"/>
    </row>
    <row r="37" spans="1:20" s="9" customFormat="1" ht="11.25" customHeight="1">
      <c r="A37" s="147" t="s">
        <v>52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</row>
    <row r="38" spans="1:20" s="9" customFormat="1" ht="11.25" customHeight="1">
      <c r="A38" s="10" t="s">
        <v>2</v>
      </c>
      <c r="B38" s="5"/>
      <c r="C38" s="5"/>
      <c r="D38" s="8"/>
      <c r="E38" s="11"/>
      <c r="F38" s="7"/>
      <c r="G38" s="130" t="s">
        <v>70</v>
      </c>
      <c r="H38" s="130"/>
      <c r="I38" s="130"/>
      <c r="J38" s="6"/>
      <c r="K38" s="6"/>
      <c r="L38" s="131"/>
      <c r="M38" s="131"/>
      <c r="N38" s="132"/>
      <c r="O38" s="132"/>
      <c r="P38" s="132"/>
      <c r="Q38" s="132"/>
      <c r="R38" s="6"/>
      <c r="S38" s="6"/>
      <c r="T38" s="6"/>
    </row>
    <row r="39" spans="1:20" s="9" customFormat="1" ht="11.25" customHeight="1">
      <c r="A39" s="5"/>
      <c r="B39" s="5"/>
      <c r="C39" s="5"/>
      <c r="D39" s="131" t="s">
        <v>4</v>
      </c>
      <c r="E39" s="131"/>
      <c r="F39" s="131"/>
      <c r="G39" s="12">
        <v>1</v>
      </c>
      <c r="H39" s="6"/>
      <c r="I39" s="8"/>
      <c r="J39" s="8"/>
      <c r="K39" s="8"/>
      <c r="L39" s="131"/>
      <c r="M39" s="131"/>
      <c r="N39" s="130"/>
      <c r="O39" s="130"/>
      <c r="P39" s="130"/>
      <c r="Q39" s="130"/>
      <c r="R39" s="130"/>
      <c r="S39" s="130"/>
      <c r="T39" s="130"/>
    </row>
    <row r="40" spans="1:20" s="9" customFormat="1" ht="21.75" customHeight="1">
      <c r="A40" s="133" t="s">
        <v>54</v>
      </c>
      <c r="B40" s="133" t="s">
        <v>55</v>
      </c>
      <c r="C40" s="133"/>
      <c r="D40" s="133" t="s">
        <v>7</v>
      </c>
      <c r="E40" s="14"/>
      <c r="F40" s="133" t="s">
        <v>8</v>
      </c>
      <c r="G40" s="133"/>
      <c r="H40" s="133"/>
      <c r="I40" s="133" t="s">
        <v>9</v>
      </c>
      <c r="J40" s="133" t="s">
        <v>10</v>
      </c>
      <c r="K40" s="133"/>
      <c r="L40" s="133"/>
      <c r="M40" s="133"/>
      <c r="N40" s="133"/>
      <c r="O40" s="133" t="s">
        <v>11</v>
      </c>
      <c r="P40" s="133"/>
      <c r="Q40" s="133"/>
      <c r="R40" s="133"/>
      <c r="S40" s="133"/>
      <c r="T40" s="133"/>
    </row>
    <row r="41" spans="1:20" s="9" customFormat="1" ht="21" customHeight="1">
      <c r="A41" s="133"/>
      <c r="B41" s="133"/>
      <c r="C41" s="133"/>
      <c r="D41" s="133"/>
      <c r="E41" s="15"/>
      <c r="F41" s="16" t="s">
        <v>12</v>
      </c>
      <c r="G41" s="13" t="s">
        <v>13</v>
      </c>
      <c r="H41" s="13" t="s">
        <v>14</v>
      </c>
      <c r="I41" s="133"/>
      <c r="J41" s="13" t="s">
        <v>15</v>
      </c>
      <c r="K41" s="13" t="s">
        <v>16</v>
      </c>
      <c r="L41" s="13" t="s">
        <v>17</v>
      </c>
      <c r="M41" s="13" t="s">
        <v>18</v>
      </c>
      <c r="N41" s="13" t="s">
        <v>19</v>
      </c>
      <c r="O41" s="13" t="s">
        <v>20</v>
      </c>
      <c r="P41" s="13" t="s">
        <v>21</v>
      </c>
      <c r="Q41" s="13" t="s">
        <v>22</v>
      </c>
      <c r="R41" s="13" t="s">
        <v>23</v>
      </c>
      <c r="S41" s="13" t="s">
        <v>24</v>
      </c>
      <c r="T41" s="13" t="s">
        <v>25</v>
      </c>
    </row>
    <row r="42" spans="1:20" s="9" customFormat="1" ht="11.25" customHeight="1">
      <c r="A42" s="17">
        <v>1</v>
      </c>
      <c r="B42" s="142">
        <v>2</v>
      </c>
      <c r="C42" s="142"/>
      <c r="D42" s="18">
        <v>3</v>
      </c>
      <c r="E42" s="19"/>
      <c r="F42" s="19">
        <v>4</v>
      </c>
      <c r="G42" s="18">
        <v>5</v>
      </c>
      <c r="H42" s="18">
        <v>6</v>
      </c>
      <c r="I42" s="18">
        <v>7</v>
      </c>
      <c r="J42" s="18">
        <v>8</v>
      </c>
      <c r="K42" s="18">
        <v>9</v>
      </c>
      <c r="L42" s="18">
        <v>10</v>
      </c>
      <c r="M42" s="18">
        <v>11</v>
      </c>
      <c r="N42" s="18">
        <v>12</v>
      </c>
      <c r="O42" s="18">
        <v>13</v>
      </c>
      <c r="P42" s="18">
        <v>14</v>
      </c>
      <c r="Q42" s="18">
        <v>15</v>
      </c>
      <c r="R42" s="18">
        <v>16</v>
      </c>
      <c r="S42" s="18">
        <v>17</v>
      </c>
      <c r="T42" s="18">
        <v>18</v>
      </c>
    </row>
    <row r="43" spans="1:20" s="9" customFormat="1" ht="11.25" customHeight="1">
      <c r="A43" s="143" t="s">
        <v>56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1:20" s="6" customFormat="1" ht="20.25" customHeight="1">
      <c r="A44" s="20">
        <v>15</v>
      </c>
      <c r="B44" s="137" t="s">
        <v>27</v>
      </c>
      <c r="C44" s="137"/>
      <c r="D44" s="21" t="s">
        <v>28</v>
      </c>
      <c r="E44" s="22">
        <v>9.5</v>
      </c>
      <c r="F44" s="23">
        <v>0.46</v>
      </c>
      <c r="G44" s="23">
        <v>0.68</v>
      </c>
      <c r="H44" s="23">
        <v>0</v>
      </c>
      <c r="I44" s="23">
        <v>7.98</v>
      </c>
      <c r="J44" s="23">
        <v>0</v>
      </c>
      <c r="K44" s="23">
        <v>0.01</v>
      </c>
      <c r="L44" s="23">
        <v>0.01</v>
      </c>
      <c r="M44" s="23">
        <v>0.005</v>
      </c>
      <c r="N44" s="23">
        <v>0.01</v>
      </c>
      <c r="O44" s="23">
        <v>17.6</v>
      </c>
      <c r="P44" s="23">
        <v>10</v>
      </c>
      <c r="Q44" s="23">
        <v>0.08</v>
      </c>
      <c r="R44" s="23">
        <v>0.004</v>
      </c>
      <c r="S44" s="23">
        <v>0.7</v>
      </c>
      <c r="T44" s="23">
        <v>0.03</v>
      </c>
    </row>
    <row r="45" spans="1:20" s="6" customFormat="1" ht="21.75" customHeight="1">
      <c r="A45" s="17">
        <v>173</v>
      </c>
      <c r="B45" s="127" t="s">
        <v>29</v>
      </c>
      <c r="C45" s="127"/>
      <c r="D45" s="24">
        <v>200</v>
      </c>
      <c r="E45" s="23">
        <v>21.54</v>
      </c>
      <c r="F45" s="23">
        <v>7.3</v>
      </c>
      <c r="G45" s="23">
        <v>12.5</v>
      </c>
      <c r="H45" s="23">
        <v>54.3</v>
      </c>
      <c r="I45" s="23">
        <f>F45*4+G45*9+H45*4</f>
        <v>358.9</v>
      </c>
      <c r="J45" s="23">
        <v>0.14</v>
      </c>
      <c r="K45" s="23">
        <v>0.18</v>
      </c>
      <c r="L45" s="23">
        <v>3.35</v>
      </c>
      <c r="M45" s="23">
        <v>0.037</v>
      </c>
      <c r="N45" s="23">
        <v>1.3</v>
      </c>
      <c r="O45" s="23">
        <v>147.6</v>
      </c>
      <c r="P45" s="23">
        <v>198.6</v>
      </c>
      <c r="Q45" s="23">
        <v>0</v>
      </c>
      <c r="R45" s="23">
        <v>0</v>
      </c>
      <c r="S45" s="23">
        <v>57.8</v>
      </c>
      <c r="T45" s="23">
        <v>1.3</v>
      </c>
    </row>
    <row r="46" spans="1:20" s="6" customFormat="1" ht="12.75" customHeight="1">
      <c r="A46" s="111">
        <v>377</v>
      </c>
      <c r="B46" s="139" t="s">
        <v>48</v>
      </c>
      <c r="C46" s="139"/>
      <c r="D46" s="112">
        <v>200</v>
      </c>
      <c r="E46" s="109">
        <v>3.3</v>
      </c>
      <c r="F46" s="109">
        <v>0.26</v>
      </c>
      <c r="G46" s="109">
        <v>0.06</v>
      </c>
      <c r="H46" s="109">
        <v>15.22</v>
      </c>
      <c r="I46" s="109">
        <v>62.46</v>
      </c>
      <c r="J46" s="109">
        <v>0</v>
      </c>
      <c r="K46" s="109">
        <v>0.01</v>
      </c>
      <c r="L46" s="109">
        <v>2.9</v>
      </c>
      <c r="M46" s="109">
        <v>0</v>
      </c>
      <c r="N46" s="109">
        <v>0.06</v>
      </c>
      <c r="O46" s="109">
        <v>8.05</v>
      </c>
      <c r="P46" s="109">
        <v>9.78</v>
      </c>
      <c r="Q46" s="109">
        <v>0.017</v>
      </c>
      <c r="R46" s="109">
        <v>0</v>
      </c>
      <c r="S46" s="109">
        <v>5.24</v>
      </c>
      <c r="T46" s="109">
        <v>0.87</v>
      </c>
    </row>
    <row r="47" spans="1:20" s="6" customFormat="1" ht="11.25" customHeight="1">
      <c r="A47" s="51" t="s">
        <v>30</v>
      </c>
      <c r="B47" s="127" t="s">
        <v>44</v>
      </c>
      <c r="C47" s="127"/>
      <c r="D47" s="24">
        <v>130</v>
      </c>
      <c r="E47" s="23">
        <v>32.95</v>
      </c>
      <c r="F47" s="28">
        <v>0.9</v>
      </c>
      <c r="G47" s="28">
        <v>0.2</v>
      </c>
      <c r="H47" s="28">
        <v>8.1</v>
      </c>
      <c r="I47" s="28">
        <v>136.6</v>
      </c>
      <c r="J47" s="28">
        <v>0.04</v>
      </c>
      <c r="K47" s="28">
        <v>0.03</v>
      </c>
      <c r="L47" s="28">
        <v>60</v>
      </c>
      <c r="M47" s="28">
        <v>0</v>
      </c>
      <c r="N47" s="28">
        <v>0.2</v>
      </c>
      <c r="O47" s="28">
        <v>34</v>
      </c>
      <c r="P47" s="28">
        <v>23</v>
      </c>
      <c r="Q47" s="28">
        <v>0.2</v>
      </c>
      <c r="R47" s="28">
        <v>0</v>
      </c>
      <c r="S47" s="28">
        <v>15</v>
      </c>
      <c r="T47" s="28">
        <v>0.3</v>
      </c>
    </row>
    <row r="48" spans="1:20" s="6" customFormat="1" ht="11.25" customHeight="1">
      <c r="A48" s="26" t="s">
        <v>30</v>
      </c>
      <c r="B48" s="140" t="s">
        <v>31</v>
      </c>
      <c r="C48" s="140"/>
      <c r="D48" s="27" t="s">
        <v>32</v>
      </c>
      <c r="E48" s="23"/>
      <c r="F48" s="30">
        <v>5.6</v>
      </c>
      <c r="G48" s="30">
        <v>6.4</v>
      </c>
      <c r="H48" s="30">
        <v>9.4</v>
      </c>
      <c r="I48" s="30">
        <v>117.6</v>
      </c>
      <c r="J48" s="30">
        <v>0.08</v>
      </c>
      <c r="K48" s="30">
        <v>0.307</v>
      </c>
      <c r="L48" s="30">
        <v>2.6</v>
      </c>
      <c r="M48" s="30">
        <v>0.067</v>
      </c>
      <c r="N48" s="30">
        <v>0.292</v>
      </c>
      <c r="O48" s="30">
        <v>240</v>
      </c>
      <c r="P48" s="30">
        <v>180</v>
      </c>
      <c r="Q48" s="30">
        <v>0.8</v>
      </c>
      <c r="R48" s="30">
        <v>0.018</v>
      </c>
      <c r="S48" s="30">
        <v>28</v>
      </c>
      <c r="T48" s="30">
        <v>0.12</v>
      </c>
    </row>
    <row r="49" spans="1:20" s="6" customFormat="1" ht="12" customHeight="1">
      <c r="A49" s="174" t="s">
        <v>34</v>
      </c>
      <c r="B49" s="175"/>
      <c r="C49" s="176"/>
      <c r="D49" s="33">
        <v>775</v>
      </c>
      <c r="E49" s="35">
        <f>SUM(E44:E48)</f>
        <v>67.28999999999999</v>
      </c>
      <c r="F49" s="36">
        <f>SUM(F44:F48)</f>
        <v>14.52</v>
      </c>
      <c r="G49" s="36">
        <f aca="true" t="shared" si="8" ref="G49:T49">SUM(G44:G48)</f>
        <v>19.84</v>
      </c>
      <c r="H49" s="36">
        <f t="shared" si="8"/>
        <v>87.02</v>
      </c>
      <c r="I49" s="36">
        <f t="shared" si="8"/>
        <v>683.54</v>
      </c>
      <c r="J49" s="36">
        <f t="shared" si="8"/>
        <v>0.26</v>
      </c>
      <c r="K49" s="36">
        <f t="shared" si="8"/>
        <v>0.537</v>
      </c>
      <c r="L49" s="36">
        <f t="shared" si="8"/>
        <v>68.86</v>
      </c>
      <c r="M49" s="36">
        <f t="shared" si="8"/>
        <v>0.109</v>
      </c>
      <c r="N49" s="36">
        <f t="shared" si="8"/>
        <v>1.862</v>
      </c>
      <c r="O49" s="36">
        <f t="shared" si="8"/>
        <v>447.25</v>
      </c>
      <c r="P49" s="36">
        <f t="shared" si="8"/>
        <v>421.38</v>
      </c>
      <c r="Q49" s="36">
        <f t="shared" si="8"/>
        <v>1.097</v>
      </c>
      <c r="R49" s="36">
        <f t="shared" si="8"/>
        <v>0.022</v>
      </c>
      <c r="S49" s="36">
        <f t="shared" si="8"/>
        <v>106.74000000000001</v>
      </c>
      <c r="T49" s="36">
        <f t="shared" si="8"/>
        <v>2.62</v>
      </c>
    </row>
    <row r="50" spans="1:20" s="6" customFormat="1" ht="12" customHeight="1">
      <c r="A50" s="138" t="s">
        <v>35</v>
      </c>
      <c r="B50" s="138"/>
      <c r="C50" s="138"/>
      <c r="D50" s="138"/>
      <c r="E50" s="56"/>
      <c r="F50" s="57">
        <f aca="true" t="shared" si="9" ref="F50:T50">F49/F68</f>
        <v>0.16133333333333333</v>
      </c>
      <c r="G50" s="67">
        <f t="shared" si="9"/>
        <v>0.21565217391304348</v>
      </c>
      <c r="H50" s="67">
        <f t="shared" si="9"/>
        <v>0.22720626631853785</v>
      </c>
      <c r="I50" s="67">
        <f t="shared" si="9"/>
        <v>0.25130147058823527</v>
      </c>
      <c r="J50" s="67">
        <f t="shared" si="9"/>
        <v>0.18571428571428572</v>
      </c>
      <c r="K50" s="67">
        <f t="shared" si="9"/>
        <v>0.335625</v>
      </c>
      <c r="L50" s="67">
        <f t="shared" si="9"/>
        <v>0.9837142857142857</v>
      </c>
      <c r="M50" s="67">
        <f t="shared" si="9"/>
        <v>0.12111111111111111</v>
      </c>
      <c r="N50" s="67">
        <f t="shared" si="9"/>
        <v>0.15516666666666667</v>
      </c>
      <c r="O50" s="67">
        <f t="shared" si="9"/>
        <v>0.3727083333333333</v>
      </c>
      <c r="P50" s="67">
        <f t="shared" si="9"/>
        <v>0.35115</v>
      </c>
      <c r="Q50" s="67">
        <f t="shared" si="9"/>
        <v>0.07835714285714286</v>
      </c>
      <c r="R50" s="67">
        <f t="shared" si="9"/>
        <v>0.21999999999999997</v>
      </c>
      <c r="S50" s="67">
        <f t="shared" si="9"/>
        <v>0.3558</v>
      </c>
      <c r="T50" s="67">
        <f t="shared" si="9"/>
        <v>0.14555555555555555</v>
      </c>
    </row>
    <row r="51" spans="1:20" s="6" customFormat="1" ht="12" customHeight="1">
      <c r="A51" s="52"/>
      <c r="B51" s="68"/>
      <c r="C51" s="68"/>
      <c r="D51" s="43"/>
      <c r="E51" s="69"/>
      <c r="F51" s="45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6" customFormat="1" ht="10.5" customHeight="1">
      <c r="A52" s="143" t="s">
        <v>36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s="6" customFormat="1" ht="13.5" customHeight="1">
      <c r="A53" s="29">
        <v>52</v>
      </c>
      <c r="B53" s="127" t="s">
        <v>61</v>
      </c>
      <c r="C53" s="127"/>
      <c r="D53" s="24">
        <v>60</v>
      </c>
      <c r="E53" s="23">
        <v>3.29</v>
      </c>
      <c r="F53" s="23">
        <f>0.86*D53/60</f>
        <v>0.86</v>
      </c>
      <c r="G53" s="23">
        <f>3.05*D53/60</f>
        <v>3.05</v>
      </c>
      <c r="H53" s="23">
        <f>5.13*D53/60</f>
        <v>5.13</v>
      </c>
      <c r="I53" s="23">
        <f>F53*4+G53*9+H53*4</f>
        <v>51.41</v>
      </c>
      <c r="J53" s="23">
        <f>0.01*D53/60</f>
        <v>0.01</v>
      </c>
      <c r="K53" s="23">
        <f>0.02*D53/60</f>
        <v>0.02</v>
      </c>
      <c r="L53" s="23">
        <f>5.7*D53/60</f>
        <v>5.7</v>
      </c>
      <c r="M53" s="23">
        <f>0.01*D53/60</f>
        <v>0.01</v>
      </c>
      <c r="N53" s="23">
        <f>0.1*D53/60</f>
        <v>0.1</v>
      </c>
      <c r="O53" s="23">
        <f>26.61*D53/60</f>
        <v>26.61</v>
      </c>
      <c r="P53" s="23">
        <f>25.64*D53/60</f>
        <v>25.64</v>
      </c>
      <c r="Q53" s="23">
        <f>0.43*D53/60</f>
        <v>0.43</v>
      </c>
      <c r="R53" s="23">
        <f>0.01*D53/60</f>
        <v>0.01</v>
      </c>
      <c r="S53" s="23">
        <f>12.87*D53/60</f>
        <v>12.87</v>
      </c>
      <c r="T53" s="23">
        <f>0.84*D53/60</f>
        <v>0.84</v>
      </c>
    </row>
    <row r="54" spans="1:20" s="6" customFormat="1" ht="22.5" customHeight="1">
      <c r="A54" s="17">
        <v>103</v>
      </c>
      <c r="B54" s="127" t="s">
        <v>62</v>
      </c>
      <c r="C54" s="127"/>
      <c r="D54" s="25">
        <v>250</v>
      </c>
      <c r="E54" s="23">
        <v>10.81</v>
      </c>
      <c r="F54" s="28">
        <v>2.69</v>
      </c>
      <c r="G54" s="28">
        <v>2.84</v>
      </c>
      <c r="H54" s="28">
        <v>17.14</v>
      </c>
      <c r="I54" s="28">
        <v>104.75</v>
      </c>
      <c r="J54" s="28">
        <v>0.11</v>
      </c>
      <c r="K54" s="28">
        <v>0.21</v>
      </c>
      <c r="L54" s="28">
        <v>8.25</v>
      </c>
      <c r="M54" s="28">
        <v>0</v>
      </c>
      <c r="N54" s="28">
        <v>0.379</v>
      </c>
      <c r="O54" s="28">
        <v>24.6</v>
      </c>
      <c r="P54" s="28">
        <v>66.65</v>
      </c>
      <c r="Q54" s="28">
        <v>0.13</v>
      </c>
      <c r="R54" s="28">
        <v>0.001</v>
      </c>
      <c r="S54" s="28">
        <v>27</v>
      </c>
      <c r="T54" s="28">
        <v>1.09</v>
      </c>
    </row>
    <row r="55" spans="1:20" s="6" customFormat="1" ht="12" customHeight="1">
      <c r="A55" s="116">
        <v>232</v>
      </c>
      <c r="B55" s="127" t="s">
        <v>122</v>
      </c>
      <c r="C55" s="127"/>
      <c r="D55" s="117">
        <v>75</v>
      </c>
      <c r="E55" s="118">
        <v>26.75</v>
      </c>
      <c r="F55" s="126">
        <v>8.36</v>
      </c>
      <c r="G55" s="126">
        <v>5.35</v>
      </c>
      <c r="H55" s="126">
        <v>10.45</v>
      </c>
      <c r="I55" s="126">
        <v>125.95</v>
      </c>
      <c r="J55" s="126">
        <v>0.07</v>
      </c>
      <c r="K55" s="126">
        <v>0.07</v>
      </c>
      <c r="L55" s="126">
        <v>0.42</v>
      </c>
      <c r="M55" s="126">
        <v>0</v>
      </c>
      <c r="N55" s="126">
        <v>0</v>
      </c>
      <c r="O55" s="126">
        <v>39.14</v>
      </c>
      <c r="P55" s="126">
        <v>124.85</v>
      </c>
      <c r="Q55" s="126">
        <v>0</v>
      </c>
      <c r="R55" s="126">
        <v>0</v>
      </c>
      <c r="S55" s="126">
        <v>30</v>
      </c>
      <c r="T55" s="126">
        <v>0.74</v>
      </c>
    </row>
    <row r="56" spans="1:20" s="6" customFormat="1" ht="12" customHeight="1">
      <c r="A56" s="106">
        <v>304</v>
      </c>
      <c r="B56" s="144" t="s">
        <v>58</v>
      </c>
      <c r="C56" s="144"/>
      <c r="D56" s="108">
        <v>180</v>
      </c>
      <c r="E56" s="107">
        <v>8.24</v>
      </c>
      <c r="F56" s="119">
        <v>4.44</v>
      </c>
      <c r="G56" s="119">
        <v>6.44</v>
      </c>
      <c r="H56" s="119">
        <v>44.016</v>
      </c>
      <c r="I56" s="119">
        <v>251.82</v>
      </c>
      <c r="J56" s="119">
        <v>0.036</v>
      </c>
      <c r="K56" s="119">
        <v>0.024</v>
      </c>
      <c r="L56" s="109">
        <v>0</v>
      </c>
      <c r="M56" s="119">
        <v>0.048</v>
      </c>
      <c r="N56" s="109">
        <v>0</v>
      </c>
      <c r="O56" s="119">
        <v>17.928</v>
      </c>
      <c r="P56" s="119">
        <v>95.256</v>
      </c>
      <c r="Q56" s="109">
        <v>0</v>
      </c>
      <c r="R56" s="109">
        <v>0.001</v>
      </c>
      <c r="S56" s="119">
        <v>33.468</v>
      </c>
      <c r="T56" s="119">
        <v>0.708</v>
      </c>
    </row>
    <row r="57" spans="1:20" s="6" customFormat="1" ht="26.25" customHeight="1">
      <c r="A57" s="17">
        <v>345</v>
      </c>
      <c r="B57" s="127" t="s">
        <v>64</v>
      </c>
      <c r="C57" s="127"/>
      <c r="D57" s="24">
        <v>200</v>
      </c>
      <c r="E57" s="23">
        <v>5.1</v>
      </c>
      <c r="F57" s="28">
        <v>0.06</v>
      </c>
      <c r="G57" s="28">
        <v>0.02</v>
      </c>
      <c r="H57" s="28">
        <v>20.73</v>
      </c>
      <c r="I57" s="28">
        <v>83.34</v>
      </c>
      <c r="J57" s="28">
        <v>0</v>
      </c>
      <c r="K57" s="28">
        <v>0</v>
      </c>
      <c r="L57" s="28">
        <v>2.5</v>
      </c>
      <c r="M57" s="28">
        <v>0.004</v>
      </c>
      <c r="N57" s="28">
        <v>0.2</v>
      </c>
      <c r="O57" s="28">
        <v>4</v>
      </c>
      <c r="P57" s="28">
        <v>3.3</v>
      </c>
      <c r="Q57" s="28">
        <v>0.08</v>
      </c>
      <c r="R57" s="28">
        <v>0.001</v>
      </c>
      <c r="S57" s="28">
        <v>1.7</v>
      </c>
      <c r="T57" s="28">
        <v>0.15</v>
      </c>
    </row>
    <row r="58" spans="1:20" s="6" customFormat="1" ht="11.25" customHeight="1">
      <c r="A58" s="51" t="s">
        <v>30</v>
      </c>
      <c r="B58" s="127" t="s">
        <v>43</v>
      </c>
      <c r="C58" s="127"/>
      <c r="D58" s="24">
        <v>50</v>
      </c>
      <c r="E58" s="23">
        <v>2.35</v>
      </c>
      <c r="F58" s="23">
        <f>2.64*D58/40</f>
        <v>3.3</v>
      </c>
      <c r="G58" s="23">
        <f>0.48*D58/40</f>
        <v>0.6</v>
      </c>
      <c r="H58" s="23">
        <f>13.68*D58/40</f>
        <v>17.1</v>
      </c>
      <c r="I58" s="23">
        <f>F58*4+G58*9+H58*4</f>
        <v>87</v>
      </c>
      <c r="J58" s="23">
        <f>0.08*D58/40</f>
        <v>0.1</v>
      </c>
      <c r="K58" s="23">
        <f>0.04*D58/40</f>
        <v>0.05</v>
      </c>
      <c r="L58" s="23">
        <v>0</v>
      </c>
      <c r="M58" s="23">
        <v>0</v>
      </c>
      <c r="N58" s="23">
        <f>2.4*D58/40</f>
        <v>3</v>
      </c>
      <c r="O58" s="23">
        <f>14*D58/40</f>
        <v>17.5</v>
      </c>
      <c r="P58" s="23">
        <f>63.2*D58/40</f>
        <v>79</v>
      </c>
      <c r="Q58" s="23">
        <f>1.2*D58/40</f>
        <v>1.5</v>
      </c>
      <c r="R58" s="23">
        <f>0.001*D58/40</f>
        <v>0.00125</v>
      </c>
      <c r="S58" s="23">
        <f>9.4*D58/40</f>
        <v>11.75</v>
      </c>
      <c r="T58" s="23">
        <f>0.78*D58/40</f>
        <v>0.975</v>
      </c>
    </row>
    <row r="59" spans="1:20" s="6" customFormat="1" ht="11.25" customHeight="1">
      <c r="A59" s="70" t="s">
        <v>30</v>
      </c>
      <c r="B59" s="141" t="s">
        <v>44</v>
      </c>
      <c r="C59" s="141"/>
      <c r="D59" s="24">
        <v>200</v>
      </c>
      <c r="E59" s="23">
        <v>23.46</v>
      </c>
      <c r="F59" s="28">
        <v>0.9</v>
      </c>
      <c r="G59" s="28">
        <v>0.2</v>
      </c>
      <c r="H59" s="28">
        <v>8.1</v>
      </c>
      <c r="I59" s="28">
        <v>136.6</v>
      </c>
      <c r="J59" s="28">
        <v>0.04</v>
      </c>
      <c r="K59" s="28">
        <v>0.03</v>
      </c>
      <c r="L59" s="28">
        <v>60</v>
      </c>
      <c r="M59" s="28">
        <v>0</v>
      </c>
      <c r="N59" s="28">
        <v>0.2</v>
      </c>
      <c r="O59" s="28">
        <v>34</v>
      </c>
      <c r="P59" s="28">
        <v>23</v>
      </c>
      <c r="Q59" s="28">
        <v>0.2</v>
      </c>
      <c r="R59" s="28">
        <v>0</v>
      </c>
      <c r="S59" s="28">
        <v>15</v>
      </c>
      <c r="T59" s="28">
        <v>0.3</v>
      </c>
    </row>
    <row r="60" spans="1:20" s="6" customFormat="1" ht="11.25" customHeight="1">
      <c r="A60" s="54" t="s">
        <v>45</v>
      </c>
      <c r="B60" s="55"/>
      <c r="C60" s="55"/>
      <c r="D60" s="34">
        <f>SUM(D53:D59)</f>
        <v>1015</v>
      </c>
      <c r="E60" s="35">
        <f>SUM(E53:E59)</f>
        <v>80</v>
      </c>
      <c r="F60" s="36">
        <f>SUM(F53:F59)</f>
        <v>20.61</v>
      </c>
      <c r="G60" s="36">
        <f aca="true" t="shared" si="10" ref="G60:T60">SUM(G53:G59)</f>
        <v>18.5</v>
      </c>
      <c r="H60" s="36">
        <f t="shared" si="10"/>
        <v>122.666</v>
      </c>
      <c r="I60" s="36">
        <f t="shared" si="10"/>
        <v>840.8700000000001</v>
      </c>
      <c r="J60" s="36">
        <f t="shared" si="10"/>
        <v>0.366</v>
      </c>
      <c r="K60" s="36">
        <f t="shared" si="10"/>
        <v>0.404</v>
      </c>
      <c r="L60" s="36">
        <f t="shared" si="10"/>
        <v>76.87</v>
      </c>
      <c r="M60" s="36">
        <f t="shared" si="10"/>
        <v>0.062</v>
      </c>
      <c r="N60" s="36">
        <f t="shared" si="10"/>
        <v>3.8790000000000004</v>
      </c>
      <c r="O60" s="36">
        <f t="shared" si="10"/>
        <v>163.778</v>
      </c>
      <c r="P60" s="36">
        <f t="shared" si="10"/>
        <v>417.69599999999997</v>
      </c>
      <c r="Q60" s="36">
        <f t="shared" si="10"/>
        <v>2.3400000000000003</v>
      </c>
      <c r="R60" s="36">
        <f t="shared" si="10"/>
        <v>0.01425</v>
      </c>
      <c r="S60" s="36">
        <f t="shared" si="10"/>
        <v>131.788</v>
      </c>
      <c r="T60" s="36">
        <f t="shared" si="10"/>
        <v>4.803</v>
      </c>
    </row>
    <row r="61" spans="1:20" s="6" customFormat="1" ht="11.25" customHeight="1">
      <c r="A61" s="138" t="s">
        <v>35</v>
      </c>
      <c r="B61" s="138"/>
      <c r="C61" s="138"/>
      <c r="D61" s="138"/>
      <c r="E61" s="56"/>
      <c r="F61" s="57">
        <f aca="true" t="shared" si="11" ref="F61:T61">F60/F68</f>
        <v>0.22899999999999998</v>
      </c>
      <c r="G61" s="41">
        <f t="shared" si="11"/>
        <v>0.20108695652173914</v>
      </c>
      <c r="H61" s="41">
        <f t="shared" si="11"/>
        <v>0.32027676240208874</v>
      </c>
      <c r="I61" s="41">
        <f t="shared" si="11"/>
        <v>0.3091433823529412</v>
      </c>
      <c r="J61" s="41">
        <f t="shared" si="11"/>
        <v>0.26142857142857145</v>
      </c>
      <c r="K61" s="41">
        <f t="shared" si="11"/>
        <v>0.2525</v>
      </c>
      <c r="L61" s="41">
        <f t="shared" si="11"/>
        <v>1.0981428571428573</v>
      </c>
      <c r="M61" s="41">
        <f t="shared" si="11"/>
        <v>0.06888888888888889</v>
      </c>
      <c r="N61" s="41">
        <f t="shared" si="11"/>
        <v>0.32325000000000004</v>
      </c>
      <c r="O61" s="41">
        <f t="shared" si="11"/>
        <v>0.13648166666666667</v>
      </c>
      <c r="P61" s="41">
        <f t="shared" si="11"/>
        <v>0.34808</v>
      </c>
      <c r="Q61" s="41">
        <f t="shared" si="11"/>
        <v>0.16714285714285718</v>
      </c>
      <c r="R61" s="41">
        <f t="shared" si="11"/>
        <v>0.1425</v>
      </c>
      <c r="S61" s="41">
        <f t="shared" si="11"/>
        <v>0.43929333333333337</v>
      </c>
      <c r="T61" s="41">
        <f t="shared" si="11"/>
        <v>0.2668333333333333</v>
      </c>
    </row>
    <row r="62" spans="1:20" s="6" customFormat="1" ht="11.25" customHeight="1">
      <c r="A62" s="143" t="s">
        <v>46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s="6" customFormat="1" ht="11.25" customHeight="1">
      <c r="A63" s="17">
        <v>406</v>
      </c>
      <c r="B63" s="127" t="s">
        <v>65</v>
      </c>
      <c r="C63" s="127"/>
      <c r="D63" s="24">
        <v>75</v>
      </c>
      <c r="E63" s="23">
        <v>16.19</v>
      </c>
      <c r="F63" s="23">
        <v>11</v>
      </c>
      <c r="G63" s="23">
        <v>9.5</v>
      </c>
      <c r="H63" s="23">
        <v>31.5</v>
      </c>
      <c r="I63" s="23">
        <f>F63*4+G63*9+H63*4</f>
        <v>255.5</v>
      </c>
      <c r="J63" s="23">
        <v>0.1</v>
      </c>
      <c r="K63" s="23">
        <v>0.3</v>
      </c>
      <c r="L63" s="23">
        <v>0.6</v>
      </c>
      <c r="M63" s="23">
        <v>0.13</v>
      </c>
      <c r="N63" s="23">
        <v>1.8</v>
      </c>
      <c r="O63" s="23">
        <v>18.6</v>
      </c>
      <c r="P63" s="23">
        <v>113.8</v>
      </c>
      <c r="Q63" s="23">
        <v>1.63</v>
      </c>
      <c r="R63" s="23">
        <v>0.01</v>
      </c>
      <c r="S63" s="23">
        <v>17.4</v>
      </c>
      <c r="T63" s="23">
        <v>0.6</v>
      </c>
    </row>
    <row r="64" spans="1:20" s="6" customFormat="1" ht="12" customHeight="1">
      <c r="A64" s="17">
        <v>389</v>
      </c>
      <c r="B64" s="127" t="s">
        <v>66</v>
      </c>
      <c r="C64" s="127"/>
      <c r="D64" s="24">
        <v>200</v>
      </c>
      <c r="E64" s="23">
        <v>13.81</v>
      </c>
      <c r="F64" s="23">
        <v>3.17</v>
      </c>
      <c r="G64" s="23">
        <v>2.68</v>
      </c>
      <c r="H64" s="23">
        <v>15.95</v>
      </c>
      <c r="I64" s="23">
        <f>F64*4+G64*9+H64*4</f>
        <v>100.6</v>
      </c>
      <c r="J64" s="23">
        <v>0.04</v>
      </c>
      <c r="K64" s="23">
        <v>0.15</v>
      </c>
      <c r="L64" s="23">
        <v>1.3</v>
      </c>
      <c r="M64" s="23">
        <v>0.03</v>
      </c>
      <c r="N64" s="23">
        <v>0.06</v>
      </c>
      <c r="O64" s="23">
        <v>120.4</v>
      </c>
      <c r="P64" s="23">
        <v>90</v>
      </c>
      <c r="Q64" s="23">
        <v>1.1</v>
      </c>
      <c r="R64" s="23">
        <v>0.01</v>
      </c>
      <c r="S64" s="23">
        <v>14</v>
      </c>
      <c r="T64" s="23">
        <v>0.12</v>
      </c>
    </row>
    <row r="65" spans="1:20" s="9" customFormat="1" ht="11.25" customHeight="1">
      <c r="A65" s="54" t="s">
        <v>49</v>
      </c>
      <c r="B65" s="55"/>
      <c r="C65" s="55"/>
      <c r="D65" s="34">
        <f>SUM(D63:D64)</f>
        <v>275</v>
      </c>
      <c r="E65" s="35">
        <f>SUM(E63:E64)</f>
        <v>30</v>
      </c>
      <c r="F65" s="36">
        <f>SUM(F63:F64)</f>
        <v>14.17</v>
      </c>
      <c r="G65" s="36">
        <f aca="true" t="shared" si="12" ref="G65:T65">SUM(G63:G64)</f>
        <v>12.18</v>
      </c>
      <c r="H65" s="36">
        <f t="shared" si="12"/>
        <v>47.45</v>
      </c>
      <c r="I65" s="36">
        <f t="shared" si="12"/>
        <v>356.1</v>
      </c>
      <c r="J65" s="36">
        <f t="shared" si="12"/>
        <v>0.14</v>
      </c>
      <c r="K65" s="36">
        <f t="shared" si="12"/>
        <v>0.44999999999999996</v>
      </c>
      <c r="L65" s="36">
        <f t="shared" si="12"/>
        <v>1.9</v>
      </c>
      <c r="M65" s="36">
        <f t="shared" si="12"/>
        <v>0.16</v>
      </c>
      <c r="N65" s="36">
        <f t="shared" si="12"/>
        <v>1.86</v>
      </c>
      <c r="O65" s="36">
        <f t="shared" si="12"/>
        <v>139</v>
      </c>
      <c r="P65" s="36">
        <f t="shared" si="12"/>
        <v>203.8</v>
      </c>
      <c r="Q65" s="36">
        <f t="shared" si="12"/>
        <v>2.73</v>
      </c>
      <c r="R65" s="36">
        <f t="shared" si="12"/>
        <v>0.02</v>
      </c>
      <c r="S65" s="36">
        <f t="shared" si="12"/>
        <v>31.4</v>
      </c>
      <c r="T65" s="36">
        <f t="shared" si="12"/>
        <v>0.72</v>
      </c>
    </row>
    <row r="66" spans="1:20" s="9" customFormat="1" ht="11.25" customHeight="1">
      <c r="A66" s="138" t="s">
        <v>35</v>
      </c>
      <c r="B66" s="138"/>
      <c r="C66" s="138"/>
      <c r="D66" s="138"/>
      <c r="E66" s="56"/>
      <c r="F66" s="57">
        <f aca="true" t="shared" si="13" ref="F66:T66">F65/F68</f>
        <v>0.15744444444444444</v>
      </c>
      <c r="G66" s="71">
        <f t="shared" si="13"/>
        <v>0.1323913043478261</v>
      </c>
      <c r="H66" s="71">
        <f t="shared" si="13"/>
        <v>0.12389033942558747</v>
      </c>
      <c r="I66" s="71">
        <f t="shared" si="13"/>
        <v>0.13091911764705882</v>
      </c>
      <c r="J66" s="71">
        <f t="shared" si="13"/>
        <v>0.10000000000000002</v>
      </c>
      <c r="K66" s="71">
        <f t="shared" si="13"/>
        <v>0.28124999999999994</v>
      </c>
      <c r="L66" s="71">
        <f t="shared" si="13"/>
        <v>0.027142857142857142</v>
      </c>
      <c r="M66" s="71">
        <f t="shared" si="13"/>
        <v>0.17777777777777778</v>
      </c>
      <c r="N66" s="71">
        <f t="shared" si="13"/>
        <v>0.155</v>
      </c>
      <c r="O66" s="71">
        <f t="shared" si="13"/>
        <v>0.11583333333333333</v>
      </c>
      <c r="P66" s="71">
        <f t="shared" si="13"/>
        <v>0.16983333333333334</v>
      </c>
      <c r="Q66" s="71">
        <f t="shared" si="13"/>
        <v>0.195</v>
      </c>
      <c r="R66" s="71">
        <f t="shared" si="13"/>
        <v>0.19999999999999998</v>
      </c>
      <c r="S66" s="71">
        <f t="shared" si="13"/>
        <v>0.10466666666666666</v>
      </c>
      <c r="T66" s="71">
        <f t="shared" si="13"/>
        <v>0.04</v>
      </c>
    </row>
    <row r="67" spans="1:20" s="9" customFormat="1" ht="11.25" customHeight="1">
      <c r="A67" s="138" t="s">
        <v>50</v>
      </c>
      <c r="B67" s="138"/>
      <c r="C67" s="138"/>
      <c r="D67" s="138"/>
      <c r="E67" s="39"/>
      <c r="F67" s="36">
        <f aca="true" t="shared" si="14" ref="F67:T67">SUM(F49,F60,F65)</f>
        <v>49.3</v>
      </c>
      <c r="G67" s="37">
        <f t="shared" si="14"/>
        <v>50.52</v>
      </c>
      <c r="H67" s="37">
        <f t="shared" si="14"/>
        <v>257.13599999999997</v>
      </c>
      <c r="I67" s="37">
        <f t="shared" si="14"/>
        <v>1880.5100000000002</v>
      </c>
      <c r="J67" s="36">
        <f t="shared" si="14"/>
        <v>0.766</v>
      </c>
      <c r="K67" s="36">
        <f t="shared" si="14"/>
        <v>1.391</v>
      </c>
      <c r="L67" s="72">
        <f t="shared" si="14"/>
        <v>147.63000000000002</v>
      </c>
      <c r="M67" s="36">
        <f t="shared" si="14"/>
        <v>0.33099999999999996</v>
      </c>
      <c r="N67" s="72">
        <f t="shared" si="14"/>
        <v>7.601000000000001</v>
      </c>
      <c r="O67" s="37">
        <f t="shared" si="14"/>
        <v>750.028</v>
      </c>
      <c r="P67" s="36">
        <f t="shared" si="14"/>
        <v>1042.876</v>
      </c>
      <c r="Q67" s="37">
        <f t="shared" si="14"/>
        <v>6.167</v>
      </c>
      <c r="R67" s="38">
        <f t="shared" si="14"/>
        <v>0.056249999999999994</v>
      </c>
      <c r="S67" s="36">
        <f t="shared" si="14"/>
        <v>269.928</v>
      </c>
      <c r="T67" s="36">
        <f t="shared" si="14"/>
        <v>8.143</v>
      </c>
    </row>
    <row r="68" spans="1:20" s="9" customFormat="1" ht="11.25" customHeight="1">
      <c r="A68" s="138" t="s">
        <v>51</v>
      </c>
      <c r="B68" s="138"/>
      <c r="C68" s="138"/>
      <c r="D68" s="138"/>
      <c r="E68" s="39"/>
      <c r="F68" s="23">
        <v>90</v>
      </c>
      <c r="G68" s="53">
        <v>92</v>
      </c>
      <c r="H68" s="53">
        <v>383</v>
      </c>
      <c r="I68" s="53">
        <v>2720</v>
      </c>
      <c r="J68" s="23">
        <v>1.4</v>
      </c>
      <c r="K68" s="23">
        <v>1.6</v>
      </c>
      <c r="L68" s="24">
        <v>70</v>
      </c>
      <c r="M68" s="23">
        <v>0.9</v>
      </c>
      <c r="N68" s="24">
        <v>12</v>
      </c>
      <c r="O68" s="24">
        <v>1200</v>
      </c>
      <c r="P68" s="24">
        <v>1200</v>
      </c>
      <c r="Q68" s="24">
        <v>14</v>
      </c>
      <c r="R68" s="53">
        <v>0.1</v>
      </c>
      <c r="S68" s="24">
        <v>300</v>
      </c>
      <c r="T68" s="23">
        <v>18</v>
      </c>
    </row>
    <row r="69" spans="1:20" s="73" customFormat="1" ht="11.25" customHeight="1">
      <c r="A69" s="148" t="s">
        <v>35</v>
      </c>
      <c r="B69" s="148"/>
      <c r="C69" s="148"/>
      <c r="D69" s="148"/>
      <c r="E69" s="39"/>
      <c r="F69" s="58">
        <f aca="true" t="shared" si="15" ref="F69:T69">F67/F68</f>
        <v>0.5477777777777777</v>
      </c>
      <c r="G69" s="59">
        <f t="shared" si="15"/>
        <v>0.5491304347826087</v>
      </c>
      <c r="H69" s="59">
        <f t="shared" si="15"/>
        <v>0.6713733681462141</v>
      </c>
      <c r="I69" s="59">
        <f t="shared" si="15"/>
        <v>0.6913639705882354</v>
      </c>
      <c r="J69" s="59">
        <f t="shared" si="15"/>
        <v>0.5471428571428572</v>
      </c>
      <c r="K69" s="59">
        <f t="shared" si="15"/>
        <v>0.869375</v>
      </c>
      <c r="L69" s="59">
        <f t="shared" si="15"/>
        <v>2.1090000000000004</v>
      </c>
      <c r="M69" s="60">
        <f t="shared" si="15"/>
        <v>0.3677777777777777</v>
      </c>
      <c r="N69" s="60">
        <f t="shared" si="15"/>
        <v>0.6334166666666667</v>
      </c>
      <c r="O69" s="59">
        <f t="shared" si="15"/>
        <v>0.6250233333333334</v>
      </c>
      <c r="P69" s="59">
        <f t="shared" si="15"/>
        <v>0.8690633333333333</v>
      </c>
      <c r="Q69" s="59">
        <f t="shared" si="15"/>
        <v>0.4405</v>
      </c>
      <c r="R69" s="60">
        <f t="shared" si="15"/>
        <v>0.5624999999999999</v>
      </c>
      <c r="S69" s="59">
        <f t="shared" si="15"/>
        <v>0.89976</v>
      </c>
      <c r="T69" s="59">
        <f t="shared" si="15"/>
        <v>0.45238888888888895</v>
      </c>
    </row>
    <row r="70" spans="1:20" s="9" customFormat="1" ht="11.25" customHeight="1">
      <c r="A70" s="5" t="s">
        <v>67</v>
      </c>
      <c r="B70" s="5"/>
      <c r="C70" s="61"/>
      <c r="D70" s="61"/>
      <c r="E70" s="62"/>
      <c r="F70" s="11"/>
      <c r="G70" s="6"/>
      <c r="H70" s="8"/>
      <c r="I70" s="8"/>
      <c r="J70" s="6"/>
      <c r="K70" s="6"/>
      <c r="L70" s="6"/>
      <c r="M70" s="128" t="s">
        <v>0</v>
      </c>
      <c r="N70" s="128"/>
      <c r="O70" s="128"/>
      <c r="P70" s="128"/>
      <c r="Q70" s="128"/>
      <c r="R70" s="128"/>
      <c r="S70" s="128"/>
      <c r="T70" s="128"/>
    </row>
    <row r="71" spans="1:20" s="9" customFormat="1" ht="11.25" customHeight="1">
      <c r="A71" s="5"/>
      <c r="B71" s="5"/>
      <c r="C71" s="61"/>
      <c r="D71" s="61"/>
      <c r="E71" s="62"/>
      <c r="F71" s="11"/>
      <c r="G71" s="6"/>
      <c r="H71" s="8"/>
      <c r="I71" s="8"/>
      <c r="J71" s="6"/>
      <c r="K71" s="6"/>
      <c r="L71" s="6"/>
      <c r="M71" s="74"/>
      <c r="N71" s="74"/>
      <c r="O71" s="74"/>
      <c r="P71" s="74"/>
      <c r="Q71" s="74"/>
      <c r="R71" s="74"/>
      <c r="S71" s="74"/>
      <c r="T71" s="74"/>
    </row>
    <row r="72" spans="1:20" s="9" customFormat="1" ht="11.25" customHeight="1">
      <c r="A72" s="147" t="s">
        <v>68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</row>
    <row r="73" spans="1:20" s="9" customFormat="1" ht="11.25" customHeight="1">
      <c r="A73" s="10" t="s">
        <v>69</v>
      </c>
      <c r="B73" s="5"/>
      <c r="C73" s="5"/>
      <c r="D73" s="8"/>
      <c r="E73" s="11"/>
      <c r="F73" s="7"/>
      <c r="G73" s="130" t="s">
        <v>53</v>
      </c>
      <c r="H73" s="130"/>
      <c r="I73" s="130"/>
      <c r="J73" s="6"/>
      <c r="K73" s="6"/>
      <c r="L73" s="131"/>
      <c r="M73" s="131"/>
      <c r="N73" s="132"/>
      <c r="O73" s="132"/>
      <c r="P73" s="132"/>
      <c r="Q73" s="132"/>
      <c r="R73" s="6"/>
      <c r="S73" s="6"/>
      <c r="T73" s="6"/>
    </row>
    <row r="74" spans="1:20" s="9" customFormat="1" ht="11.25" customHeight="1">
      <c r="A74" s="5"/>
      <c r="B74" s="5"/>
      <c r="C74" s="5"/>
      <c r="D74" s="149" t="s">
        <v>4</v>
      </c>
      <c r="E74" s="149"/>
      <c r="F74" s="149"/>
      <c r="G74" s="12">
        <v>1</v>
      </c>
      <c r="H74" s="6"/>
      <c r="I74" s="8"/>
      <c r="J74" s="8"/>
      <c r="K74" s="8"/>
      <c r="L74" s="149"/>
      <c r="M74" s="149"/>
      <c r="N74" s="130"/>
      <c r="O74" s="130"/>
      <c r="P74" s="130"/>
      <c r="Q74" s="130"/>
      <c r="R74" s="130"/>
      <c r="S74" s="130"/>
      <c r="T74" s="130"/>
    </row>
    <row r="75" spans="1:20" s="9" customFormat="1" ht="21.75" customHeight="1">
      <c r="A75" s="133" t="s">
        <v>54</v>
      </c>
      <c r="B75" s="133" t="s">
        <v>55</v>
      </c>
      <c r="C75" s="133"/>
      <c r="D75" s="133" t="s">
        <v>7</v>
      </c>
      <c r="E75" s="75"/>
      <c r="F75" s="133" t="s">
        <v>8</v>
      </c>
      <c r="G75" s="133"/>
      <c r="H75" s="133"/>
      <c r="I75" s="133" t="s">
        <v>9</v>
      </c>
      <c r="J75" s="133" t="s">
        <v>10</v>
      </c>
      <c r="K75" s="133"/>
      <c r="L75" s="133"/>
      <c r="M75" s="133"/>
      <c r="N75" s="133"/>
      <c r="O75" s="133" t="s">
        <v>11</v>
      </c>
      <c r="P75" s="133"/>
      <c r="Q75" s="133"/>
      <c r="R75" s="133"/>
      <c r="S75" s="133"/>
      <c r="T75" s="133"/>
    </row>
    <row r="76" spans="1:20" s="9" customFormat="1" ht="21" customHeight="1">
      <c r="A76" s="133"/>
      <c r="B76" s="133"/>
      <c r="C76" s="133"/>
      <c r="D76" s="133"/>
      <c r="E76" s="15"/>
      <c r="F76" s="16" t="s">
        <v>12</v>
      </c>
      <c r="G76" s="13" t="s">
        <v>13</v>
      </c>
      <c r="H76" s="13" t="s">
        <v>14</v>
      </c>
      <c r="I76" s="133"/>
      <c r="J76" s="13" t="s">
        <v>15</v>
      </c>
      <c r="K76" s="13" t="s">
        <v>16</v>
      </c>
      <c r="L76" s="13" t="s">
        <v>17</v>
      </c>
      <c r="M76" s="13" t="s">
        <v>18</v>
      </c>
      <c r="N76" s="13" t="s">
        <v>19</v>
      </c>
      <c r="O76" s="13" t="s">
        <v>20</v>
      </c>
      <c r="P76" s="13" t="s">
        <v>21</v>
      </c>
      <c r="Q76" s="13" t="s">
        <v>22</v>
      </c>
      <c r="R76" s="13" t="s">
        <v>23</v>
      </c>
      <c r="S76" s="13" t="s">
        <v>24</v>
      </c>
      <c r="T76" s="13" t="s">
        <v>25</v>
      </c>
    </row>
    <row r="77" spans="1:20" s="9" customFormat="1" ht="11.25" customHeight="1">
      <c r="A77" s="17">
        <v>1</v>
      </c>
      <c r="B77" s="142">
        <v>2</v>
      </c>
      <c r="C77" s="142"/>
      <c r="D77" s="18">
        <v>3</v>
      </c>
      <c r="E77" s="19"/>
      <c r="F77" s="19">
        <v>4</v>
      </c>
      <c r="G77" s="18">
        <v>5</v>
      </c>
      <c r="H77" s="18">
        <v>6</v>
      </c>
      <c r="I77" s="18">
        <v>7</v>
      </c>
      <c r="J77" s="18">
        <v>8</v>
      </c>
      <c r="K77" s="18">
        <v>9</v>
      </c>
      <c r="L77" s="18">
        <v>10</v>
      </c>
      <c r="M77" s="18">
        <v>11</v>
      </c>
      <c r="N77" s="18">
        <v>12</v>
      </c>
      <c r="O77" s="18">
        <v>13</v>
      </c>
      <c r="P77" s="18">
        <v>14</v>
      </c>
      <c r="Q77" s="18">
        <v>15</v>
      </c>
      <c r="R77" s="18">
        <v>16</v>
      </c>
      <c r="S77" s="18">
        <v>17</v>
      </c>
      <c r="T77" s="18">
        <v>18</v>
      </c>
    </row>
    <row r="78" spans="1:20" s="9" customFormat="1" ht="11.25" customHeight="1">
      <c r="A78" s="143" t="s">
        <v>26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s="6" customFormat="1" ht="11.25" customHeight="1">
      <c r="A79" s="29" t="s">
        <v>30</v>
      </c>
      <c r="B79" s="127" t="s">
        <v>71</v>
      </c>
      <c r="C79" s="127"/>
      <c r="D79" s="24">
        <v>20</v>
      </c>
      <c r="E79" s="23">
        <v>6.6</v>
      </c>
      <c r="F79" s="23">
        <v>1.4</v>
      </c>
      <c r="G79" s="23">
        <v>1.7</v>
      </c>
      <c r="H79" s="23">
        <v>11.1</v>
      </c>
      <c r="I79" s="23">
        <v>65.6</v>
      </c>
      <c r="J79" s="23">
        <v>0.05</v>
      </c>
      <c r="K79" s="23">
        <v>0.04</v>
      </c>
      <c r="L79" s="23">
        <v>0.1</v>
      </c>
      <c r="M79" s="23">
        <v>0.005</v>
      </c>
      <c r="N79" s="23">
        <v>0.02</v>
      </c>
      <c r="O79" s="23">
        <v>30.7</v>
      </c>
      <c r="P79" s="23">
        <v>21.9</v>
      </c>
      <c r="Q79" s="23">
        <v>0.1</v>
      </c>
      <c r="R79" s="23">
        <v>0.001</v>
      </c>
      <c r="S79" s="23">
        <v>3.4</v>
      </c>
      <c r="T79" s="23">
        <v>0.02</v>
      </c>
    </row>
    <row r="80" spans="1:20" s="6" customFormat="1" ht="21" customHeight="1">
      <c r="A80" s="17">
        <v>222</v>
      </c>
      <c r="B80" s="150" t="s">
        <v>72</v>
      </c>
      <c r="C80" s="151"/>
      <c r="D80" s="24">
        <v>160</v>
      </c>
      <c r="E80" s="23">
        <v>43.93</v>
      </c>
      <c r="F80" s="28">
        <v>14.92</v>
      </c>
      <c r="G80" s="28">
        <v>14.38</v>
      </c>
      <c r="H80" s="28">
        <v>31.51</v>
      </c>
      <c r="I80" s="28">
        <v>315.14</v>
      </c>
      <c r="J80" s="28">
        <v>0.26</v>
      </c>
      <c r="K80" s="28">
        <v>0.408</v>
      </c>
      <c r="L80" s="28">
        <v>0.935</v>
      </c>
      <c r="M80" s="28">
        <v>0.213</v>
      </c>
      <c r="N80" s="28">
        <v>1.36</v>
      </c>
      <c r="O80" s="28">
        <v>215.96</v>
      </c>
      <c r="P80" s="28">
        <v>414.6</v>
      </c>
      <c r="Q80" s="28">
        <v>1.2</v>
      </c>
      <c r="R80" s="28">
        <v>0.02</v>
      </c>
      <c r="S80" s="28">
        <v>93.883</v>
      </c>
      <c r="T80" s="28">
        <v>2.533</v>
      </c>
    </row>
    <row r="81" spans="1:20" s="6" customFormat="1" ht="11.25" customHeight="1">
      <c r="A81" s="31">
        <v>377</v>
      </c>
      <c r="B81" s="134" t="s">
        <v>48</v>
      </c>
      <c r="C81" s="134"/>
      <c r="D81" s="50">
        <v>200</v>
      </c>
      <c r="E81" s="28">
        <v>3.3</v>
      </c>
      <c r="F81" s="109">
        <v>0.26</v>
      </c>
      <c r="G81" s="109">
        <v>0.06</v>
      </c>
      <c r="H81" s="109">
        <v>15.22</v>
      </c>
      <c r="I81" s="109">
        <v>62.46</v>
      </c>
      <c r="J81" s="109">
        <v>0</v>
      </c>
      <c r="K81" s="109">
        <v>0.01</v>
      </c>
      <c r="L81" s="109">
        <v>2.9</v>
      </c>
      <c r="M81" s="109">
        <v>0</v>
      </c>
      <c r="N81" s="109">
        <v>0.06</v>
      </c>
      <c r="O81" s="109">
        <v>8.05</v>
      </c>
      <c r="P81" s="109">
        <v>9.78</v>
      </c>
      <c r="Q81" s="109">
        <v>0.017</v>
      </c>
      <c r="R81" s="109">
        <v>0</v>
      </c>
      <c r="S81" s="109">
        <v>5.24</v>
      </c>
      <c r="T81" s="109">
        <v>0.87</v>
      </c>
    </row>
    <row r="82" spans="1:20" s="6" customFormat="1" ht="11.25" customHeight="1">
      <c r="A82" s="78" t="s">
        <v>30</v>
      </c>
      <c r="B82" s="127" t="s">
        <v>33</v>
      </c>
      <c r="C82" s="127"/>
      <c r="D82" s="24">
        <v>20</v>
      </c>
      <c r="E82" s="23">
        <v>13.46</v>
      </c>
      <c r="F82" s="30">
        <v>0.65</v>
      </c>
      <c r="G82" s="30">
        <v>3.8</v>
      </c>
      <c r="H82" s="30">
        <v>17.6</v>
      </c>
      <c r="I82" s="30">
        <v>38</v>
      </c>
      <c r="J82" s="30">
        <v>0.026</v>
      </c>
      <c r="K82" s="30">
        <v>0.03</v>
      </c>
      <c r="L82" s="30">
        <v>0.13</v>
      </c>
      <c r="M82" s="30">
        <v>11.96</v>
      </c>
      <c r="N82" s="30">
        <v>0.39</v>
      </c>
      <c r="O82" s="30">
        <v>24.18</v>
      </c>
      <c r="P82" s="30">
        <v>49.4</v>
      </c>
      <c r="Q82" s="30">
        <v>0.2</v>
      </c>
      <c r="R82" s="30">
        <v>0.002</v>
      </c>
      <c r="S82" s="30">
        <v>18.72</v>
      </c>
      <c r="T82" s="30">
        <v>0.182</v>
      </c>
    </row>
    <row r="83" spans="1:20" s="6" customFormat="1" ht="14.25" customHeight="1">
      <c r="A83" s="32" t="s">
        <v>34</v>
      </c>
      <c r="B83" s="79"/>
      <c r="C83" s="79"/>
      <c r="D83" s="34">
        <f>SUM(D79:D82)</f>
        <v>400</v>
      </c>
      <c r="E83" s="35">
        <f>SUM(E79:E82)</f>
        <v>67.28999999999999</v>
      </c>
      <c r="F83" s="36">
        <f>SUM(F79:F82)</f>
        <v>17.23</v>
      </c>
      <c r="G83" s="36">
        <f aca="true" t="shared" si="16" ref="G83:T83">SUM(G79:G82)</f>
        <v>19.94</v>
      </c>
      <c r="H83" s="36">
        <f t="shared" si="16"/>
        <v>75.43</v>
      </c>
      <c r="I83" s="36">
        <f t="shared" si="16"/>
        <v>481.2</v>
      </c>
      <c r="J83" s="36">
        <f t="shared" si="16"/>
        <v>0.336</v>
      </c>
      <c r="K83" s="36">
        <f t="shared" si="16"/>
        <v>0.488</v>
      </c>
      <c r="L83" s="36">
        <f t="shared" si="16"/>
        <v>4.065</v>
      </c>
      <c r="M83" s="36">
        <f t="shared" si="16"/>
        <v>12.178</v>
      </c>
      <c r="N83" s="36">
        <f t="shared" si="16"/>
        <v>1.83</v>
      </c>
      <c r="O83" s="36">
        <f t="shared" si="16"/>
        <v>278.89</v>
      </c>
      <c r="P83" s="36">
        <f t="shared" si="16"/>
        <v>495.67999999999995</v>
      </c>
      <c r="Q83" s="36">
        <f t="shared" si="16"/>
        <v>1.517</v>
      </c>
      <c r="R83" s="36">
        <f t="shared" si="16"/>
        <v>0.023</v>
      </c>
      <c r="S83" s="36">
        <f t="shared" si="16"/>
        <v>121.243</v>
      </c>
      <c r="T83" s="36">
        <f t="shared" si="16"/>
        <v>3.605</v>
      </c>
    </row>
    <row r="84" spans="1:20" s="6" customFormat="1" ht="14.25" customHeight="1">
      <c r="A84" s="148" t="s">
        <v>35</v>
      </c>
      <c r="B84" s="148"/>
      <c r="C84" s="148"/>
      <c r="D84" s="148"/>
      <c r="E84" s="39"/>
      <c r="F84" s="58">
        <f aca="true" t="shared" si="17" ref="F84:T84">F83/F100</f>
        <v>0.19144444444444444</v>
      </c>
      <c r="G84" s="58">
        <f t="shared" si="17"/>
        <v>0.21673913043478263</v>
      </c>
      <c r="H84" s="58">
        <f t="shared" si="17"/>
        <v>0.19694516971279374</v>
      </c>
      <c r="I84" s="58">
        <f t="shared" si="17"/>
        <v>0.17691176470588235</v>
      </c>
      <c r="J84" s="58">
        <f t="shared" si="17"/>
        <v>0.24000000000000002</v>
      </c>
      <c r="K84" s="58">
        <f t="shared" si="17"/>
        <v>0.305</v>
      </c>
      <c r="L84" s="58">
        <f t="shared" si="17"/>
        <v>0.05807142857142858</v>
      </c>
      <c r="M84" s="58">
        <f t="shared" si="17"/>
        <v>13.531111111111112</v>
      </c>
      <c r="N84" s="58">
        <f t="shared" si="17"/>
        <v>0.1525</v>
      </c>
      <c r="O84" s="59">
        <f t="shared" si="17"/>
        <v>0.23240833333333333</v>
      </c>
      <c r="P84" s="58">
        <f t="shared" si="17"/>
        <v>0.41306666666666664</v>
      </c>
      <c r="Q84" s="58">
        <f t="shared" si="17"/>
        <v>0.10835714285714285</v>
      </c>
      <c r="R84" s="58">
        <f t="shared" si="17"/>
        <v>0.22999999999999998</v>
      </c>
      <c r="S84" s="58">
        <f t="shared" si="17"/>
        <v>0.4041433333333333</v>
      </c>
      <c r="T84" s="59">
        <f t="shared" si="17"/>
        <v>0.20027777777777778</v>
      </c>
    </row>
    <row r="85" spans="1:20" s="6" customFormat="1" ht="11.25" customHeight="1">
      <c r="A85" s="143" t="s">
        <v>36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s="7" customFormat="1" ht="21.75" customHeight="1">
      <c r="A86" s="17">
        <v>24</v>
      </c>
      <c r="B86" s="152" t="s">
        <v>73</v>
      </c>
      <c r="C86" s="152"/>
      <c r="D86" s="24">
        <v>60</v>
      </c>
      <c r="E86" s="23">
        <v>6.9</v>
      </c>
      <c r="F86" s="28">
        <v>0.59</v>
      </c>
      <c r="G86" s="28">
        <v>3.69</v>
      </c>
      <c r="H86" s="28">
        <v>2.24</v>
      </c>
      <c r="I86" s="28">
        <v>44.52</v>
      </c>
      <c r="J86" s="28">
        <v>0.03</v>
      </c>
      <c r="K86" s="28">
        <v>0.03333333333333333</v>
      </c>
      <c r="L86" s="28">
        <v>10.06</v>
      </c>
      <c r="M86" s="28">
        <v>0</v>
      </c>
      <c r="N86" s="28">
        <v>1.25</v>
      </c>
      <c r="O86" s="28">
        <v>11.21</v>
      </c>
      <c r="P86" s="28">
        <v>20.77</v>
      </c>
      <c r="Q86" s="28">
        <v>0.25</v>
      </c>
      <c r="R86" s="28">
        <v>0.0016666666666666668</v>
      </c>
      <c r="S86" s="28">
        <v>9.76</v>
      </c>
      <c r="T86" s="28">
        <v>0.44</v>
      </c>
    </row>
    <row r="87" spans="1:20" s="6" customFormat="1" ht="22.5" customHeight="1">
      <c r="A87" s="17">
        <v>82</v>
      </c>
      <c r="B87" s="127" t="s">
        <v>74</v>
      </c>
      <c r="C87" s="127"/>
      <c r="D87" s="25">
        <v>250</v>
      </c>
      <c r="E87" s="23">
        <v>10</v>
      </c>
      <c r="F87" s="28">
        <v>2.43</v>
      </c>
      <c r="G87" s="28">
        <v>3.12</v>
      </c>
      <c r="H87" s="28">
        <v>12.01</v>
      </c>
      <c r="I87" s="28">
        <v>85.84</v>
      </c>
      <c r="J87" s="28">
        <v>0.064</v>
      </c>
      <c r="K87" s="28">
        <v>0.064</v>
      </c>
      <c r="L87" s="28">
        <v>20.98</v>
      </c>
      <c r="M87" s="28">
        <v>0.076</v>
      </c>
      <c r="N87" s="28">
        <v>0.257</v>
      </c>
      <c r="O87" s="28">
        <v>49.59</v>
      </c>
      <c r="P87" s="28">
        <v>58.68</v>
      </c>
      <c r="Q87" s="28">
        <v>0.746</v>
      </c>
      <c r="R87" s="28">
        <v>0.011</v>
      </c>
      <c r="S87" s="28">
        <v>25.43</v>
      </c>
      <c r="T87" s="28">
        <v>1.32</v>
      </c>
    </row>
    <row r="88" spans="1:20" s="6" customFormat="1" ht="11.25" customHeight="1">
      <c r="A88" s="17">
        <v>291</v>
      </c>
      <c r="B88" s="127" t="s">
        <v>75</v>
      </c>
      <c r="C88" s="127"/>
      <c r="D88" s="24">
        <v>240</v>
      </c>
      <c r="E88" s="23">
        <v>43.87</v>
      </c>
      <c r="F88" s="28">
        <v>20.3</v>
      </c>
      <c r="G88" s="28">
        <v>17</v>
      </c>
      <c r="H88" s="28">
        <v>35.69</v>
      </c>
      <c r="I88" s="28">
        <v>377</v>
      </c>
      <c r="J88" s="28">
        <v>0.06</v>
      </c>
      <c r="K88" s="28">
        <v>0.66</v>
      </c>
      <c r="L88" s="28">
        <v>1.01</v>
      </c>
      <c r="M88" s="28">
        <v>48</v>
      </c>
      <c r="N88" s="28">
        <v>0</v>
      </c>
      <c r="O88" s="28">
        <v>45.1</v>
      </c>
      <c r="P88" s="28">
        <v>199.3</v>
      </c>
      <c r="Q88" s="28">
        <v>0</v>
      </c>
      <c r="R88" s="28">
        <v>0</v>
      </c>
      <c r="S88" s="28">
        <v>47.5</v>
      </c>
      <c r="T88" s="28">
        <v>2.19</v>
      </c>
    </row>
    <row r="89" spans="1:20" s="6" customFormat="1" ht="12" customHeight="1">
      <c r="A89" s="17">
        <v>699</v>
      </c>
      <c r="B89" s="127" t="s">
        <v>76</v>
      </c>
      <c r="C89" s="127"/>
      <c r="D89" s="24">
        <v>200</v>
      </c>
      <c r="E89" s="23">
        <v>4.08</v>
      </c>
      <c r="F89" s="28">
        <v>0.1</v>
      </c>
      <c r="G89" s="28">
        <v>0</v>
      </c>
      <c r="H89" s="28">
        <v>15.7</v>
      </c>
      <c r="I89" s="28">
        <v>63.2</v>
      </c>
      <c r="J89" s="28">
        <v>0.018</v>
      </c>
      <c r="K89" s="28">
        <v>0.012</v>
      </c>
      <c r="L89" s="28">
        <v>8</v>
      </c>
      <c r="M89" s="28">
        <v>0</v>
      </c>
      <c r="N89" s="28">
        <v>0.2</v>
      </c>
      <c r="O89" s="28">
        <v>10.8</v>
      </c>
      <c r="P89" s="28">
        <v>1.7</v>
      </c>
      <c r="Q89" s="28">
        <v>0</v>
      </c>
      <c r="R89" s="28">
        <v>0</v>
      </c>
      <c r="S89" s="28">
        <v>5.8</v>
      </c>
      <c r="T89" s="28">
        <v>1.6</v>
      </c>
    </row>
    <row r="90" spans="1:20" s="6" customFormat="1" ht="11.25" customHeight="1">
      <c r="A90" s="51" t="s">
        <v>30</v>
      </c>
      <c r="B90" s="127" t="s">
        <v>43</v>
      </c>
      <c r="C90" s="127"/>
      <c r="D90" s="24">
        <v>50</v>
      </c>
      <c r="E90" s="23">
        <v>2.35</v>
      </c>
      <c r="F90" s="23">
        <f>2.64*D90/40</f>
        <v>3.3</v>
      </c>
      <c r="G90" s="23">
        <f>0.48*D90/40</f>
        <v>0.6</v>
      </c>
      <c r="H90" s="23">
        <f>13.68*D90/40</f>
        <v>17.1</v>
      </c>
      <c r="I90" s="23">
        <f>F90*4+G90*9+H90*4</f>
        <v>87</v>
      </c>
      <c r="J90" s="23">
        <f>0.08*D90/40</f>
        <v>0.1</v>
      </c>
      <c r="K90" s="23">
        <f>0.04*D90/40</f>
        <v>0.05</v>
      </c>
      <c r="L90" s="23">
        <v>0</v>
      </c>
      <c r="M90" s="23">
        <v>0</v>
      </c>
      <c r="N90" s="23">
        <f>2.4*D90/40</f>
        <v>3</v>
      </c>
      <c r="O90" s="23">
        <f>14*D90/40</f>
        <v>17.5</v>
      </c>
      <c r="P90" s="23">
        <f>63.2*D90/40</f>
        <v>79</v>
      </c>
      <c r="Q90" s="23">
        <f>1.2*D90/40</f>
        <v>1.5</v>
      </c>
      <c r="R90" s="23">
        <f>0.001*D90/40</f>
        <v>0.00125</v>
      </c>
      <c r="S90" s="23">
        <f>9.4*D90/40</f>
        <v>11.75</v>
      </c>
      <c r="T90" s="23">
        <f>0.78*D90/40</f>
        <v>0.975</v>
      </c>
    </row>
    <row r="91" spans="1:20" s="6" customFormat="1" ht="11.25" customHeight="1">
      <c r="A91" s="66" t="s">
        <v>30</v>
      </c>
      <c r="B91" s="127" t="s">
        <v>33</v>
      </c>
      <c r="C91" s="127"/>
      <c r="D91" s="24">
        <v>20</v>
      </c>
      <c r="E91" s="23">
        <v>22.8</v>
      </c>
      <c r="F91" s="30">
        <v>0.65</v>
      </c>
      <c r="G91" s="30">
        <v>3.8</v>
      </c>
      <c r="H91" s="30">
        <v>17.6</v>
      </c>
      <c r="I91" s="30">
        <v>38</v>
      </c>
      <c r="J91" s="30">
        <v>0.026</v>
      </c>
      <c r="K91" s="30">
        <v>0.03</v>
      </c>
      <c r="L91" s="30">
        <v>0.13</v>
      </c>
      <c r="M91" s="30">
        <v>11.96</v>
      </c>
      <c r="N91" s="30">
        <v>0.39</v>
      </c>
      <c r="O91" s="30">
        <v>24.18</v>
      </c>
      <c r="P91" s="30">
        <v>49.4</v>
      </c>
      <c r="Q91" s="30">
        <v>0.2</v>
      </c>
      <c r="R91" s="30">
        <v>0.002</v>
      </c>
      <c r="S91" s="30">
        <v>18.72</v>
      </c>
      <c r="T91" s="30">
        <v>0.182</v>
      </c>
    </row>
    <row r="92" spans="1:20" s="6" customFormat="1" ht="11.25" customHeight="1">
      <c r="A92" s="54" t="s">
        <v>45</v>
      </c>
      <c r="B92" s="55"/>
      <c r="C92" s="55"/>
      <c r="D92" s="34">
        <f>SUM(D86:D91)</f>
        <v>820</v>
      </c>
      <c r="E92" s="35">
        <f>SUM(E86:E91)</f>
        <v>89.99999999999999</v>
      </c>
      <c r="F92" s="36">
        <f>SUM(F86:F91)</f>
        <v>27.37</v>
      </c>
      <c r="G92" s="36">
        <f aca="true" t="shared" si="18" ref="G92:T92">SUM(G86:G91)</f>
        <v>28.210000000000004</v>
      </c>
      <c r="H92" s="36">
        <f t="shared" si="18"/>
        <v>100.34</v>
      </c>
      <c r="I92" s="36">
        <f t="shared" si="18"/>
        <v>695.5600000000001</v>
      </c>
      <c r="J92" s="36">
        <f t="shared" si="18"/>
        <v>0.29800000000000004</v>
      </c>
      <c r="K92" s="36">
        <f t="shared" si="18"/>
        <v>0.8493333333333335</v>
      </c>
      <c r="L92" s="36">
        <f t="shared" si="18"/>
        <v>40.18</v>
      </c>
      <c r="M92" s="36">
        <f t="shared" si="18"/>
        <v>60.036</v>
      </c>
      <c r="N92" s="36">
        <f t="shared" si="18"/>
        <v>5.0969999999999995</v>
      </c>
      <c r="O92" s="36">
        <f t="shared" si="18"/>
        <v>158.38</v>
      </c>
      <c r="P92" s="36">
        <f t="shared" si="18"/>
        <v>408.84999999999997</v>
      </c>
      <c r="Q92" s="36">
        <f t="shared" si="18"/>
        <v>2.696</v>
      </c>
      <c r="R92" s="36">
        <f t="shared" si="18"/>
        <v>0.015916666666666666</v>
      </c>
      <c r="S92" s="36">
        <f t="shared" si="18"/>
        <v>118.96</v>
      </c>
      <c r="T92" s="36">
        <f t="shared" si="18"/>
        <v>6.707000000000001</v>
      </c>
    </row>
    <row r="93" spans="1:20" s="6" customFormat="1" ht="11.25" customHeight="1">
      <c r="A93" s="148" t="s">
        <v>35</v>
      </c>
      <c r="B93" s="148"/>
      <c r="C93" s="148"/>
      <c r="D93" s="148"/>
      <c r="E93" s="69"/>
      <c r="F93" s="80">
        <f aca="true" t="shared" si="19" ref="F93:T93">F92/F100</f>
        <v>0.3041111111111111</v>
      </c>
      <c r="G93" s="58">
        <f t="shared" si="19"/>
        <v>0.30663043478260876</v>
      </c>
      <c r="H93" s="58">
        <f t="shared" si="19"/>
        <v>0.26198433420365536</v>
      </c>
      <c r="I93" s="58">
        <f t="shared" si="19"/>
        <v>0.25572058823529414</v>
      </c>
      <c r="J93" s="58">
        <f t="shared" si="19"/>
        <v>0.2128571428571429</v>
      </c>
      <c r="K93" s="58">
        <f t="shared" si="19"/>
        <v>0.5308333333333334</v>
      </c>
      <c r="L93" s="58">
        <f t="shared" si="19"/>
        <v>0.574</v>
      </c>
      <c r="M93" s="58">
        <f t="shared" si="19"/>
        <v>66.70666666666666</v>
      </c>
      <c r="N93" s="58">
        <f t="shared" si="19"/>
        <v>0.42474999999999996</v>
      </c>
      <c r="O93" s="59">
        <f t="shared" si="19"/>
        <v>0.13198333333333334</v>
      </c>
      <c r="P93" s="58">
        <f t="shared" si="19"/>
        <v>0.3407083333333333</v>
      </c>
      <c r="Q93" s="58">
        <f t="shared" si="19"/>
        <v>0.1925714285714286</v>
      </c>
      <c r="R93" s="58">
        <f t="shared" si="19"/>
        <v>0.15916666666666665</v>
      </c>
      <c r="S93" s="58">
        <f t="shared" si="19"/>
        <v>0.3965333333333333</v>
      </c>
      <c r="T93" s="59">
        <f t="shared" si="19"/>
        <v>0.37261111111111117</v>
      </c>
    </row>
    <row r="94" spans="1:20" s="6" customFormat="1" ht="11.25" customHeight="1">
      <c r="A94" s="143" t="s">
        <v>46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</row>
    <row r="95" spans="1:20" s="6" customFormat="1" ht="12" customHeight="1">
      <c r="A95" s="17"/>
      <c r="B95" s="127" t="s">
        <v>77</v>
      </c>
      <c r="C95" s="127"/>
      <c r="D95" s="24">
        <v>75</v>
      </c>
      <c r="E95" s="23">
        <v>27.65</v>
      </c>
      <c r="F95" s="23">
        <v>11</v>
      </c>
      <c r="G95" s="23">
        <v>9.5</v>
      </c>
      <c r="H95" s="23">
        <v>31.5</v>
      </c>
      <c r="I95" s="23">
        <f>F95*4+G95*9+H95*4</f>
        <v>255.5</v>
      </c>
      <c r="J95" s="23">
        <v>0.1</v>
      </c>
      <c r="K95" s="23">
        <v>0.3</v>
      </c>
      <c r="L95" s="23">
        <v>0.6</v>
      </c>
      <c r="M95" s="23">
        <v>0.13</v>
      </c>
      <c r="N95" s="23">
        <v>1.8</v>
      </c>
      <c r="O95" s="23">
        <v>18.6</v>
      </c>
      <c r="P95" s="23">
        <v>113.8</v>
      </c>
      <c r="Q95" s="23">
        <v>1.63</v>
      </c>
      <c r="R95" s="23">
        <v>0.01</v>
      </c>
      <c r="S95" s="23">
        <v>17.4</v>
      </c>
      <c r="T95" s="23">
        <v>0.6</v>
      </c>
    </row>
    <row r="96" spans="1:20" s="6" customFormat="1" ht="13.5" customHeight="1">
      <c r="A96" s="17">
        <v>376</v>
      </c>
      <c r="B96" s="127" t="s">
        <v>78</v>
      </c>
      <c r="C96" s="127"/>
      <c r="D96" s="24">
        <v>200</v>
      </c>
      <c r="E96" s="23">
        <v>2.35</v>
      </c>
      <c r="F96" s="23">
        <v>0.2</v>
      </c>
      <c r="G96" s="23">
        <v>0.05</v>
      </c>
      <c r="H96" s="23">
        <v>15.01</v>
      </c>
      <c r="I96" s="23">
        <f>F96*4+G96*9+H96*4</f>
        <v>61.29</v>
      </c>
      <c r="J96" s="23"/>
      <c r="K96" s="23">
        <v>0.01</v>
      </c>
      <c r="L96" s="23">
        <v>2.9</v>
      </c>
      <c r="M96" s="23">
        <v>0</v>
      </c>
      <c r="N96" s="23">
        <v>0.06</v>
      </c>
      <c r="O96" s="23">
        <v>8.05</v>
      </c>
      <c r="P96" s="23">
        <v>9.78</v>
      </c>
      <c r="Q96" s="23">
        <v>0.017</v>
      </c>
      <c r="R96" s="23">
        <v>0</v>
      </c>
      <c r="S96" s="23">
        <v>5.24</v>
      </c>
      <c r="T96" s="23">
        <v>0.87</v>
      </c>
    </row>
    <row r="97" spans="1:20" s="9" customFormat="1" ht="11.25" customHeight="1">
      <c r="A97" s="54" t="s">
        <v>49</v>
      </c>
      <c r="B97" s="55"/>
      <c r="C97" s="55"/>
      <c r="D97" s="34">
        <f>SUM(D95:D96)</f>
        <v>275</v>
      </c>
      <c r="E97" s="35">
        <f>SUM(E95:E96)</f>
        <v>30</v>
      </c>
      <c r="F97" s="36">
        <f>SUM(F95:F96)</f>
        <v>11.2</v>
      </c>
      <c r="G97" s="36">
        <f aca="true" t="shared" si="20" ref="G97:T97">SUM(G95:G96)</f>
        <v>9.55</v>
      </c>
      <c r="H97" s="36">
        <f t="shared" si="20"/>
        <v>46.51</v>
      </c>
      <c r="I97" s="36">
        <f t="shared" si="20"/>
        <v>316.79</v>
      </c>
      <c r="J97" s="36">
        <f t="shared" si="20"/>
        <v>0.1</v>
      </c>
      <c r="K97" s="36">
        <f t="shared" si="20"/>
        <v>0.31</v>
      </c>
      <c r="L97" s="36">
        <f t="shared" si="20"/>
        <v>3.5</v>
      </c>
      <c r="M97" s="36">
        <f t="shared" si="20"/>
        <v>0.13</v>
      </c>
      <c r="N97" s="36">
        <f t="shared" si="20"/>
        <v>1.86</v>
      </c>
      <c r="O97" s="36">
        <f t="shared" si="20"/>
        <v>26.650000000000002</v>
      </c>
      <c r="P97" s="36">
        <f t="shared" si="20"/>
        <v>123.58</v>
      </c>
      <c r="Q97" s="36">
        <f t="shared" si="20"/>
        <v>1.6469999999999998</v>
      </c>
      <c r="R97" s="36">
        <f t="shared" si="20"/>
        <v>0.01</v>
      </c>
      <c r="S97" s="36">
        <f t="shared" si="20"/>
        <v>22.64</v>
      </c>
      <c r="T97" s="36">
        <f t="shared" si="20"/>
        <v>1.47</v>
      </c>
    </row>
    <row r="98" spans="1:20" s="9" customFormat="1" ht="11.25" customHeight="1">
      <c r="A98" s="148" t="s">
        <v>35</v>
      </c>
      <c r="B98" s="148"/>
      <c r="C98" s="148"/>
      <c r="D98" s="148"/>
      <c r="E98" s="39"/>
      <c r="F98" s="58">
        <f aca="true" t="shared" si="21" ref="F98:T98">F97/F100</f>
        <v>0.12444444444444444</v>
      </c>
      <c r="G98" s="58">
        <f t="shared" si="21"/>
        <v>0.10380434782608697</v>
      </c>
      <c r="H98" s="58">
        <f t="shared" si="21"/>
        <v>0.12143603133159268</v>
      </c>
      <c r="I98" s="58">
        <f t="shared" si="21"/>
        <v>0.11646691176470589</v>
      </c>
      <c r="J98" s="58">
        <f t="shared" si="21"/>
        <v>0.07142857142857144</v>
      </c>
      <c r="K98" s="58">
        <f t="shared" si="21"/>
        <v>0.19374999999999998</v>
      </c>
      <c r="L98" s="58">
        <f t="shared" si="21"/>
        <v>0.05</v>
      </c>
      <c r="M98" s="58">
        <f t="shared" si="21"/>
        <v>0.14444444444444446</v>
      </c>
      <c r="N98" s="58">
        <f t="shared" si="21"/>
        <v>0.155</v>
      </c>
      <c r="O98" s="58">
        <f t="shared" si="21"/>
        <v>0.022208333333333333</v>
      </c>
      <c r="P98" s="58">
        <f t="shared" si="21"/>
        <v>0.10298333333333333</v>
      </c>
      <c r="Q98" s="58">
        <f t="shared" si="21"/>
        <v>0.11764285714285713</v>
      </c>
      <c r="R98" s="58">
        <f t="shared" si="21"/>
        <v>0.09999999999999999</v>
      </c>
      <c r="S98" s="58">
        <f t="shared" si="21"/>
        <v>0.07546666666666667</v>
      </c>
      <c r="T98" s="59">
        <f t="shared" si="21"/>
        <v>0.08166666666666667</v>
      </c>
    </row>
    <row r="99" spans="1:20" s="9" customFormat="1" ht="11.25" customHeight="1">
      <c r="A99" s="138" t="s">
        <v>50</v>
      </c>
      <c r="B99" s="138"/>
      <c r="C99" s="138"/>
      <c r="D99" s="138"/>
      <c r="E99" s="39"/>
      <c r="F99" s="36">
        <f aca="true" t="shared" si="22" ref="F99:T99">SUM(F83,F92,F97)</f>
        <v>55.8</v>
      </c>
      <c r="G99" s="37">
        <f t="shared" si="22"/>
        <v>57.7</v>
      </c>
      <c r="H99" s="37">
        <f t="shared" si="22"/>
        <v>222.28</v>
      </c>
      <c r="I99" s="37">
        <f t="shared" si="22"/>
        <v>1493.55</v>
      </c>
      <c r="J99" s="36">
        <f t="shared" si="22"/>
        <v>0.7340000000000001</v>
      </c>
      <c r="K99" s="36">
        <f t="shared" si="22"/>
        <v>1.6473333333333335</v>
      </c>
      <c r="L99" s="72">
        <f t="shared" si="22"/>
        <v>47.745</v>
      </c>
      <c r="M99" s="36">
        <f t="shared" si="22"/>
        <v>72.344</v>
      </c>
      <c r="N99" s="72">
        <f t="shared" si="22"/>
        <v>8.786999999999999</v>
      </c>
      <c r="O99" s="37">
        <f t="shared" si="22"/>
        <v>463.91999999999996</v>
      </c>
      <c r="P99" s="37">
        <f t="shared" si="22"/>
        <v>1028.11</v>
      </c>
      <c r="Q99" s="37">
        <f t="shared" si="22"/>
        <v>5.859999999999999</v>
      </c>
      <c r="R99" s="38">
        <f t="shared" si="22"/>
        <v>0.04891666666666667</v>
      </c>
      <c r="S99" s="36">
        <f t="shared" si="22"/>
        <v>262.84299999999996</v>
      </c>
      <c r="T99" s="36">
        <f t="shared" si="22"/>
        <v>11.782000000000002</v>
      </c>
    </row>
    <row r="100" spans="1:20" s="9" customFormat="1" ht="11.25" customHeight="1">
      <c r="A100" s="138" t="s">
        <v>51</v>
      </c>
      <c r="B100" s="138"/>
      <c r="C100" s="138"/>
      <c r="D100" s="138"/>
      <c r="E100" s="39"/>
      <c r="F100" s="23">
        <v>90</v>
      </c>
      <c r="G100" s="53">
        <v>92</v>
      </c>
      <c r="H100" s="53">
        <v>383</v>
      </c>
      <c r="I100" s="53">
        <v>2720</v>
      </c>
      <c r="J100" s="23">
        <v>1.4</v>
      </c>
      <c r="K100" s="23">
        <v>1.6</v>
      </c>
      <c r="L100" s="24">
        <v>70</v>
      </c>
      <c r="M100" s="23">
        <v>0.9</v>
      </c>
      <c r="N100" s="24">
        <v>12</v>
      </c>
      <c r="O100" s="24">
        <v>1200</v>
      </c>
      <c r="P100" s="24">
        <v>1200</v>
      </c>
      <c r="Q100" s="24">
        <v>14</v>
      </c>
      <c r="R100" s="53">
        <v>0.1</v>
      </c>
      <c r="S100" s="24">
        <v>300</v>
      </c>
      <c r="T100" s="23">
        <v>18</v>
      </c>
    </row>
    <row r="101" spans="1:20" s="73" customFormat="1" ht="11.25" customHeight="1">
      <c r="A101" s="148" t="s">
        <v>35</v>
      </c>
      <c r="B101" s="148"/>
      <c r="C101" s="148"/>
      <c r="D101" s="148"/>
      <c r="E101" s="39"/>
      <c r="F101" s="58">
        <f aca="true" t="shared" si="23" ref="F101:T101">F99/F100</f>
        <v>0.62</v>
      </c>
      <c r="G101" s="59">
        <f t="shared" si="23"/>
        <v>0.6271739130434782</v>
      </c>
      <c r="H101" s="59">
        <f t="shared" si="23"/>
        <v>0.5803655352480418</v>
      </c>
      <c r="I101" s="59">
        <f t="shared" si="23"/>
        <v>0.5490992647058823</v>
      </c>
      <c r="J101" s="59">
        <f t="shared" si="23"/>
        <v>0.5242857142857144</v>
      </c>
      <c r="K101" s="59">
        <f t="shared" si="23"/>
        <v>1.0295833333333333</v>
      </c>
      <c r="L101" s="59">
        <f t="shared" si="23"/>
        <v>0.6820714285714286</v>
      </c>
      <c r="M101" s="60">
        <f t="shared" si="23"/>
        <v>80.38222222222221</v>
      </c>
      <c r="N101" s="59">
        <f t="shared" si="23"/>
        <v>0.73225</v>
      </c>
      <c r="O101" s="59">
        <f t="shared" si="23"/>
        <v>0.38659999999999994</v>
      </c>
      <c r="P101" s="59">
        <f t="shared" si="23"/>
        <v>0.8567583333333333</v>
      </c>
      <c r="Q101" s="59">
        <f t="shared" si="23"/>
        <v>0.41857142857142854</v>
      </c>
      <c r="R101" s="60">
        <f t="shared" si="23"/>
        <v>0.4891666666666667</v>
      </c>
      <c r="S101" s="59">
        <f t="shared" si="23"/>
        <v>0.8761433333333332</v>
      </c>
      <c r="T101" s="60">
        <f t="shared" si="23"/>
        <v>0.6545555555555557</v>
      </c>
    </row>
    <row r="102" spans="1:20" s="9" customFormat="1" ht="11.25" customHeight="1">
      <c r="A102" s="4"/>
      <c r="B102" s="5"/>
      <c r="C102" s="5"/>
      <c r="D102" s="6"/>
      <c r="E102" s="7"/>
      <c r="F102" s="7"/>
      <c r="G102" s="6"/>
      <c r="H102" s="6"/>
      <c r="I102" s="6"/>
      <c r="J102" s="6"/>
      <c r="K102" s="6"/>
      <c r="L102" s="6"/>
      <c r="M102" s="128" t="s">
        <v>0</v>
      </c>
      <c r="N102" s="128"/>
      <c r="O102" s="128"/>
      <c r="P102" s="128"/>
      <c r="Q102" s="128"/>
      <c r="R102" s="128"/>
      <c r="S102" s="128"/>
      <c r="T102" s="128"/>
    </row>
    <row r="103" spans="1:20" s="9" customFormat="1" ht="11.25" customHeight="1">
      <c r="A103" s="147" t="s">
        <v>79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</row>
    <row r="104" spans="1:20" s="9" customFormat="1" ht="11.25" customHeight="1">
      <c r="A104" s="10" t="s">
        <v>2</v>
      </c>
      <c r="B104" s="5"/>
      <c r="C104" s="5"/>
      <c r="D104" s="8"/>
      <c r="E104" s="11"/>
      <c r="F104" s="7"/>
      <c r="G104" s="130" t="s">
        <v>80</v>
      </c>
      <c r="H104" s="130"/>
      <c r="I104" s="130"/>
      <c r="J104" s="6"/>
      <c r="K104" s="6"/>
      <c r="L104" s="131"/>
      <c r="M104" s="131"/>
      <c r="N104" s="132"/>
      <c r="O104" s="132"/>
      <c r="P104" s="132"/>
      <c r="Q104" s="132"/>
      <c r="R104" s="6"/>
      <c r="S104" s="6"/>
      <c r="T104" s="6"/>
    </row>
    <row r="105" spans="1:20" s="9" customFormat="1" ht="11.25" customHeight="1">
      <c r="A105" s="5"/>
      <c r="B105" s="5"/>
      <c r="C105" s="5"/>
      <c r="D105" s="149" t="s">
        <v>4</v>
      </c>
      <c r="E105" s="149"/>
      <c r="F105" s="149"/>
      <c r="G105" s="12">
        <v>1</v>
      </c>
      <c r="H105" s="6"/>
      <c r="I105" s="8"/>
      <c r="J105" s="8"/>
      <c r="K105" s="8"/>
      <c r="L105" s="149"/>
      <c r="M105" s="149"/>
      <c r="N105" s="130"/>
      <c r="O105" s="130"/>
      <c r="P105" s="130"/>
      <c r="Q105" s="130"/>
      <c r="R105" s="130"/>
      <c r="S105" s="130"/>
      <c r="T105" s="130"/>
    </row>
    <row r="106" spans="1:20" s="9" customFormat="1" ht="21.75" customHeight="1">
      <c r="A106" s="133" t="s">
        <v>54</v>
      </c>
      <c r="B106" s="133" t="s">
        <v>55</v>
      </c>
      <c r="C106" s="133"/>
      <c r="D106" s="133" t="s">
        <v>7</v>
      </c>
      <c r="E106" s="75"/>
      <c r="F106" s="133" t="s">
        <v>8</v>
      </c>
      <c r="G106" s="133"/>
      <c r="H106" s="133"/>
      <c r="I106" s="133" t="s">
        <v>9</v>
      </c>
      <c r="J106" s="133" t="s">
        <v>10</v>
      </c>
      <c r="K106" s="133"/>
      <c r="L106" s="133"/>
      <c r="M106" s="133"/>
      <c r="N106" s="133"/>
      <c r="O106" s="133" t="s">
        <v>11</v>
      </c>
      <c r="P106" s="133"/>
      <c r="Q106" s="133"/>
      <c r="R106" s="133"/>
      <c r="S106" s="133"/>
      <c r="T106" s="133"/>
    </row>
    <row r="107" spans="1:20" s="9" customFormat="1" ht="21" customHeight="1">
      <c r="A107" s="133"/>
      <c r="B107" s="133"/>
      <c r="C107" s="133"/>
      <c r="D107" s="133"/>
      <c r="E107" s="15"/>
      <c r="F107" s="16" t="s">
        <v>12</v>
      </c>
      <c r="G107" s="13" t="s">
        <v>13</v>
      </c>
      <c r="H107" s="13" t="s">
        <v>14</v>
      </c>
      <c r="I107" s="133"/>
      <c r="J107" s="13" t="s">
        <v>15</v>
      </c>
      <c r="K107" s="13" t="s">
        <v>16</v>
      </c>
      <c r="L107" s="13" t="s">
        <v>17</v>
      </c>
      <c r="M107" s="13" t="s">
        <v>18</v>
      </c>
      <c r="N107" s="13" t="s">
        <v>19</v>
      </c>
      <c r="O107" s="13" t="s">
        <v>20</v>
      </c>
      <c r="P107" s="13" t="s">
        <v>21</v>
      </c>
      <c r="Q107" s="13" t="s">
        <v>22</v>
      </c>
      <c r="R107" s="13" t="s">
        <v>23</v>
      </c>
      <c r="S107" s="13" t="s">
        <v>24</v>
      </c>
      <c r="T107" s="13" t="s">
        <v>25</v>
      </c>
    </row>
    <row r="108" spans="1:20" s="9" customFormat="1" ht="11.25" customHeight="1">
      <c r="A108" s="17">
        <v>1</v>
      </c>
      <c r="B108" s="142">
        <v>2</v>
      </c>
      <c r="C108" s="142"/>
      <c r="D108" s="18">
        <v>3</v>
      </c>
      <c r="E108" s="19"/>
      <c r="F108" s="19">
        <v>4</v>
      </c>
      <c r="G108" s="18">
        <v>5</v>
      </c>
      <c r="H108" s="18">
        <v>6</v>
      </c>
      <c r="I108" s="18">
        <v>7</v>
      </c>
      <c r="J108" s="18">
        <v>8</v>
      </c>
      <c r="K108" s="18">
        <v>9</v>
      </c>
      <c r="L108" s="18">
        <v>10</v>
      </c>
      <c r="M108" s="18">
        <v>11</v>
      </c>
      <c r="N108" s="18">
        <v>12</v>
      </c>
      <c r="O108" s="18">
        <v>13</v>
      </c>
      <c r="P108" s="18">
        <v>14</v>
      </c>
      <c r="Q108" s="18">
        <v>15</v>
      </c>
      <c r="R108" s="18">
        <v>16</v>
      </c>
      <c r="S108" s="18">
        <v>17</v>
      </c>
      <c r="T108" s="18">
        <v>18</v>
      </c>
    </row>
    <row r="109" spans="1:20" s="9" customFormat="1" ht="11.25" customHeight="1">
      <c r="A109" s="143" t="s">
        <v>56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</row>
    <row r="110" spans="1:20" s="9" customFormat="1" ht="11.25" customHeight="1">
      <c r="A110" s="114" t="s">
        <v>30</v>
      </c>
      <c r="B110" s="139" t="s">
        <v>100</v>
      </c>
      <c r="C110" s="139"/>
      <c r="D110" s="110">
        <v>30</v>
      </c>
      <c r="E110" s="109">
        <v>3.27</v>
      </c>
      <c r="F110" s="109">
        <v>0.44000000000000006</v>
      </c>
      <c r="G110" s="109">
        <v>0.08</v>
      </c>
      <c r="H110" s="109">
        <v>1.52</v>
      </c>
      <c r="I110" s="109">
        <v>8.56</v>
      </c>
      <c r="J110" s="109">
        <v>0.027000000000000003</v>
      </c>
      <c r="K110" s="109">
        <v>0.032</v>
      </c>
      <c r="L110" s="109">
        <v>9.733</v>
      </c>
      <c r="M110" s="109">
        <v>0.36</v>
      </c>
      <c r="N110" s="109">
        <v>1.8799999999999997</v>
      </c>
      <c r="O110" s="109">
        <v>24.4</v>
      </c>
      <c r="P110" s="109">
        <v>30.360000000000003</v>
      </c>
      <c r="Q110" s="109">
        <v>0.28</v>
      </c>
      <c r="R110" s="109">
        <v>0.005</v>
      </c>
      <c r="S110" s="109">
        <v>10.2</v>
      </c>
      <c r="T110" s="109">
        <v>0.4</v>
      </c>
    </row>
    <row r="111" spans="1:20" s="6" customFormat="1" ht="22.5" customHeight="1">
      <c r="A111" s="17">
        <v>591</v>
      </c>
      <c r="B111" s="153" t="s">
        <v>120</v>
      </c>
      <c r="C111" s="154"/>
      <c r="D111" s="49" t="s">
        <v>121</v>
      </c>
      <c r="E111" s="23">
        <v>39.68</v>
      </c>
      <c r="F111" s="23">
        <v>5.86</v>
      </c>
      <c r="G111" s="23">
        <v>16.31</v>
      </c>
      <c r="H111" s="23">
        <v>3.07</v>
      </c>
      <c r="I111" s="23">
        <v>182.51</v>
      </c>
      <c r="J111" s="23">
        <v>0.14</v>
      </c>
      <c r="K111" s="23">
        <v>0.05</v>
      </c>
      <c r="L111" s="23">
        <v>0.09</v>
      </c>
      <c r="M111" s="23">
        <v>0</v>
      </c>
      <c r="N111" s="23">
        <v>0</v>
      </c>
      <c r="O111" s="23">
        <v>9.54</v>
      </c>
      <c r="P111" s="23">
        <v>63.38</v>
      </c>
      <c r="Q111" s="23">
        <v>1.12</v>
      </c>
      <c r="R111" s="23">
        <v>2.55</v>
      </c>
      <c r="S111" s="23">
        <v>11.3</v>
      </c>
      <c r="T111" s="23">
        <v>0.75</v>
      </c>
    </row>
    <row r="112" spans="1:20" s="6" customFormat="1" ht="24" customHeight="1">
      <c r="A112" s="17">
        <v>679</v>
      </c>
      <c r="B112" s="153" t="s">
        <v>123</v>
      </c>
      <c r="C112" s="141"/>
      <c r="D112" s="24">
        <v>180</v>
      </c>
      <c r="E112" s="23">
        <v>8.12</v>
      </c>
      <c r="F112" s="28">
        <v>7.92</v>
      </c>
      <c r="G112" s="28">
        <v>6.86</v>
      </c>
      <c r="H112" s="28">
        <v>45.45</v>
      </c>
      <c r="I112" s="28">
        <v>275.4</v>
      </c>
      <c r="J112" s="28">
        <v>0.2</v>
      </c>
      <c r="K112" s="28">
        <v>0.036</v>
      </c>
      <c r="L112" s="28">
        <v>0</v>
      </c>
      <c r="M112" s="28">
        <v>25.2</v>
      </c>
      <c r="N112" s="28">
        <v>1.5</v>
      </c>
      <c r="O112" s="28">
        <v>19.96</v>
      </c>
      <c r="P112" s="28">
        <v>161.32</v>
      </c>
      <c r="Q112" s="28">
        <v>0.936</v>
      </c>
      <c r="R112" s="28">
        <v>0.002</v>
      </c>
      <c r="S112" s="28">
        <v>56.81</v>
      </c>
      <c r="T112" s="28">
        <v>1.85</v>
      </c>
    </row>
    <row r="113" spans="1:20" s="6" customFormat="1" ht="12" customHeight="1">
      <c r="A113" s="17">
        <v>379</v>
      </c>
      <c r="B113" s="127" t="s">
        <v>66</v>
      </c>
      <c r="C113" s="127"/>
      <c r="D113" s="24">
        <v>200</v>
      </c>
      <c r="E113" s="23">
        <v>13.81</v>
      </c>
      <c r="F113" s="23">
        <v>3.17</v>
      </c>
      <c r="G113" s="23">
        <v>2.68</v>
      </c>
      <c r="H113" s="23">
        <v>15.95</v>
      </c>
      <c r="I113" s="23">
        <f>F113*4+G113*9+H113*4</f>
        <v>100.6</v>
      </c>
      <c r="J113" s="23">
        <v>0.04</v>
      </c>
      <c r="K113" s="23">
        <v>0.15</v>
      </c>
      <c r="L113" s="23">
        <v>1.3</v>
      </c>
      <c r="M113" s="23">
        <v>0.03</v>
      </c>
      <c r="N113" s="23">
        <v>0.06</v>
      </c>
      <c r="O113" s="23">
        <v>120.4</v>
      </c>
      <c r="P113" s="23">
        <v>90</v>
      </c>
      <c r="Q113" s="23">
        <v>1.1</v>
      </c>
      <c r="R113" s="23">
        <v>0.01</v>
      </c>
      <c r="S113" s="23">
        <v>14</v>
      </c>
      <c r="T113" s="23">
        <v>0.12</v>
      </c>
    </row>
    <row r="114" spans="1:20" s="6" customFormat="1" ht="11.25" customHeight="1">
      <c r="A114" s="29" t="s">
        <v>30</v>
      </c>
      <c r="B114" s="127" t="s">
        <v>59</v>
      </c>
      <c r="C114" s="127"/>
      <c r="D114" s="24">
        <v>40</v>
      </c>
      <c r="E114" s="23">
        <v>2.6</v>
      </c>
      <c r="F114" s="23">
        <f>1.52*D114/30</f>
        <v>2.0266666666666664</v>
      </c>
      <c r="G114" s="23">
        <f>0.16*D114/30</f>
        <v>0.21333333333333335</v>
      </c>
      <c r="H114" s="23">
        <f>9.84*D114/30</f>
        <v>13.120000000000001</v>
      </c>
      <c r="I114" s="23">
        <f>F114*4+G114*9+H114*4</f>
        <v>62.50666666666667</v>
      </c>
      <c r="J114" s="23">
        <f>0.02*D114/30</f>
        <v>0.02666666666666667</v>
      </c>
      <c r="K114" s="23">
        <f>0.01*D114/30</f>
        <v>0.013333333333333334</v>
      </c>
      <c r="L114" s="23">
        <f>0.44*D114/30</f>
        <v>0.5866666666666667</v>
      </c>
      <c r="M114" s="23">
        <v>0</v>
      </c>
      <c r="N114" s="23">
        <f>0.7*D114/30</f>
        <v>0.9333333333333333</v>
      </c>
      <c r="O114" s="23">
        <f>4*D114/30</f>
        <v>5.333333333333333</v>
      </c>
      <c r="P114" s="23">
        <f>13*D114/30</f>
        <v>17.333333333333332</v>
      </c>
      <c r="Q114" s="23">
        <f>0.008*D114/30</f>
        <v>0.010666666666666666</v>
      </c>
      <c r="R114" s="23">
        <f>0.001*D114/30</f>
        <v>0.0013333333333333333</v>
      </c>
      <c r="S114" s="23">
        <v>0</v>
      </c>
      <c r="T114" s="23">
        <f>0.22*D114/30</f>
        <v>0.29333333333333333</v>
      </c>
    </row>
    <row r="115" spans="1:20" s="6" customFormat="1" ht="11.25" customHeight="1">
      <c r="A115" s="54" t="s">
        <v>60</v>
      </c>
      <c r="B115" s="55"/>
      <c r="C115" s="55"/>
      <c r="D115" s="34">
        <v>560</v>
      </c>
      <c r="E115" s="35">
        <f>SUM(E110:E114)</f>
        <v>67.47999999999999</v>
      </c>
      <c r="F115" s="36">
        <f>SUM(F110:F114)</f>
        <v>19.416666666666668</v>
      </c>
      <c r="G115" s="36">
        <f aca="true" t="shared" si="24" ref="G115:T115">SUM(G110:G114)</f>
        <v>26.14333333333333</v>
      </c>
      <c r="H115" s="36">
        <f t="shared" si="24"/>
        <v>79.11000000000001</v>
      </c>
      <c r="I115" s="36">
        <f t="shared" si="24"/>
        <v>629.5766666666666</v>
      </c>
      <c r="J115" s="36">
        <f t="shared" si="24"/>
        <v>0.43366666666666664</v>
      </c>
      <c r="K115" s="36">
        <f t="shared" si="24"/>
        <v>0.2813333333333333</v>
      </c>
      <c r="L115" s="36">
        <f t="shared" si="24"/>
        <v>11.709666666666667</v>
      </c>
      <c r="M115" s="36">
        <f t="shared" si="24"/>
        <v>25.59</v>
      </c>
      <c r="N115" s="36">
        <f t="shared" si="24"/>
        <v>4.373333333333333</v>
      </c>
      <c r="O115" s="36">
        <f t="shared" si="24"/>
        <v>179.63333333333335</v>
      </c>
      <c r="P115" s="36">
        <f t="shared" si="24"/>
        <v>362.3933333333333</v>
      </c>
      <c r="Q115" s="36">
        <f t="shared" si="24"/>
        <v>3.446666666666667</v>
      </c>
      <c r="R115" s="36">
        <f t="shared" si="24"/>
        <v>2.5683333333333325</v>
      </c>
      <c r="S115" s="36">
        <f t="shared" si="24"/>
        <v>92.31</v>
      </c>
      <c r="T115" s="36">
        <f t="shared" si="24"/>
        <v>3.4133333333333336</v>
      </c>
    </row>
    <row r="116" spans="1:20" s="6" customFormat="1" ht="11.25" customHeight="1">
      <c r="A116" s="148" t="s">
        <v>35</v>
      </c>
      <c r="B116" s="148"/>
      <c r="C116" s="148"/>
      <c r="D116" s="148"/>
      <c r="E116" s="69"/>
      <c r="F116" s="80">
        <f aca="true" t="shared" si="25" ref="F116:T116">F115/F133</f>
        <v>0.21574074074074076</v>
      </c>
      <c r="G116" s="58">
        <f t="shared" si="25"/>
        <v>0.2841666666666666</v>
      </c>
      <c r="H116" s="58">
        <f t="shared" si="25"/>
        <v>0.20655352480417757</v>
      </c>
      <c r="I116" s="58">
        <f t="shared" si="25"/>
        <v>0.23146200980392154</v>
      </c>
      <c r="J116" s="58">
        <f t="shared" si="25"/>
        <v>0.30976190476190474</v>
      </c>
      <c r="K116" s="58">
        <f t="shared" si="25"/>
        <v>0.1758333333333333</v>
      </c>
      <c r="L116" s="58">
        <f t="shared" si="25"/>
        <v>0.1672809523809524</v>
      </c>
      <c r="M116" s="58">
        <f t="shared" si="25"/>
        <v>28.433333333333334</v>
      </c>
      <c r="N116" s="58">
        <f t="shared" si="25"/>
        <v>0.3644444444444444</v>
      </c>
      <c r="O116" s="59">
        <f t="shared" si="25"/>
        <v>0.14969444444444446</v>
      </c>
      <c r="P116" s="58">
        <f t="shared" si="25"/>
        <v>0.30199444444444445</v>
      </c>
      <c r="Q116" s="58">
        <f t="shared" si="25"/>
        <v>0.24619047619047624</v>
      </c>
      <c r="R116" s="58">
        <f t="shared" si="25"/>
        <v>25.683333333333323</v>
      </c>
      <c r="S116" s="58">
        <f t="shared" si="25"/>
        <v>0.30770000000000003</v>
      </c>
      <c r="T116" s="59">
        <f t="shared" si="25"/>
        <v>0.18962962962962965</v>
      </c>
    </row>
    <row r="117" spans="1:20" s="6" customFormat="1" ht="11.25" customHeight="1">
      <c r="A117" s="143" t="s">
        <v>36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</row>
    <row r="118" spans="1:20" s="6" customFormat="1" ht="22.5" customHeight="1">
      <c r="A118" s="46" t="s">
        <v>37</v>
      </c>
      <c r="B118" s="134" t="s">
        <v>38</v>
      </c>
      <c r="C118" s="134"/>
      <c r="D118" s="47">
        <v>60</v>
      </c>
      <c r="E118" s="48">
        <v>2.82</v>
      </c>
      <c r="F118" s="48">
        <v>0.9</v>
      </c>
      <c r="G118" s="48">
        <v>1.31</v>
      </c>
      <c r="H118" s="48">
        <v>5.6</v>
      </c>
      <c r="I118" s="48">
        <v>37.79</v>
      </c>
      <c r="J118" s="48">
        <v>0.06</v>
      </c>
      <c r="K118" s="48">
        <v>0.07</v>
      </c>
      <c r="L118" s="48">
        <v>15.5</v>
      </c>
      <c r="M118" s="48">
        <v>0.071</v>
      </c>
      <c r="N118" s="48">
        <v>0.3</v>
      </c>
      <c r="O118" s="48">
        <v>28.2</v>
      </c>
      <c r="P118" s="48">
        <v>18.9</v>
      </c>
      <c r="Q118" s="48">
        <v>0.2</v>
      </c>
      <c r="R118" s="48">
        <v>0.001</v>
      </c>
      <c r="S118" s="48">
        <v>10.5</v>
      </c>
      <c r="T118" s="48">
        <v>0.6</v>
      </c>
    </row>
    <row r="119" spans="1:20" s="6" customFormat="1" ht="15" customHeight="1">
      <c r="A119" s="17">
        <v>96</v>
      </c>
      <c r="B119" s="127" t="s">
        <v>81</v>
      </c>
      <c r="C119" s="127"/>
      <c r="D119" s="24">
        <v>250</v>
      </c>
      <c r="E119" s="23">
        <v>15.31</v>
      </c>
      <c r="F119" s="28">
        <v>2.6</v>
      </c>
      <c r="G119" s="28">
        <v>6.13</v>
      </c>
      <c r="H119" s="28">
        <v>17.03</v>
      </c>
      <c r="I119" s="28">
        <v>133.69</v>
      </c>
      <c r="J119" s="28">
        <v>0.12</v>
      </c>
      <c r="K119" s="28">
        <v>0.074</v>
      </c>
      <c r="L119" s="28">
        <v>16</v>
      </c>
      <c r="M119" s="28">
        <v>0.04</v>
      </c>
      <c r="N119" s="28">
        <v>25.3</v>
      </c>
      <c r="O119" s="28">
        <v>25.3</v>
      </c>
      <c r="P119" s="28">
        <v>71.1</v>
      </c>
      <c r="Q119" s="28">
        <v>0.38</v>
      </c>
      <c r="R119" s="28">
        <v>0.003</v>
      </c>
      <c r="S119" s="28">
        <v>26.7</v>
      </c>
      <c r="T119" s="28">
        <v>0.95</v>
      </c>
    </row>
    <row r="120" spans="1:20" s="6" customFormat="1" ht="23.25" customHeight="1">
      <c r="A120" s="17">
        <v>266</v>
      </c>
      <c r="B120" s="127" t="s">
        <v>82</v>
      </c>
      <c r="C120" s="127"/>
      <c r="D120" s="24">
        <v>80</v>
      </c>
      <c r="E120" s="23">
        <v>34.02</v>
      </c>
      <c r="F120" s="28">
        <v>12.976249999999999</v>
      </c>
      <c r="G120" s="28">
        <v>18.10375</v>
      </c>
      <c r="H120" s="28">
        <v>3.3337499999999998</v>
      </c>
      <c r="I120" s="28">
        <v>228.17375</v>
      </c>
      <c r="J120" s="28">
        <v>0.1575</v>
      </c>
      <c r="K120" s="28">
        <v>0.18375</v>
      </c>
      <c r="L120" s="28">
        <v>0.37625</v>
      </c>
      <c r="M120" s="28">
        <v>0.035</v>
      </c>
      <c r="N120" s="28">
        <v>0.052500000000000005</v>
      </c>
      <c r="O120" s="28">
        <v>42.39375</v>
      </c>
      <c r="P120" s="28">
        <v>155.67125</v>
      </c>
      <c r="Q120" s="28">
        <v>1.9949999999999999</v>
      </c>
      <c r="R120" s="28">
        <v>0.035</v>
      </c>
      <c r="S120" s="28">
        <v>21.39375</v>
      </c>
      <c r="T120" s="28">
        <v>1.68875</v>
      </c>
    </row>
    <row r="121" spans="1:20" s="6" customFormat="1" ht="25.5" customHeight="1">
      <c r="A121" s="125">
        <v>202</v>
      </c>
      <c r="B121" s="153" t="s">
        <v>41</v>
      </c>
      <c r="C121" s="141"/>
      <c r="D121" s="117">
        <v>180</v>
      </c>
      <c r="E121" s="118">
        <v>7.93</v>
      </c>
      <c r="F121" s="28">
        <v>6.84</v>
      </c>
      <c r="G121" s="28">
        <v>4.116</v>
      </c>
      <c r="H121" s="28">
        <v>43.74</v>
      </c>
      <c r="I121" s="28">
        <v>239.364</v>
      </c>
      <c r="J121" s="28">
        <v>0.108</v>
      </c>
      <c r="K121" s="28">
        <v>0.036</v>
      </c>
      <c r="L121" s="28">
        <v>0</v>
      </c>
      <c r="M121" s="28">
        <v>0.036</v>
      </c>
      <c r="N121" s="28">
        <v>1.5</v>
      </c>
      <c r="O121" s="28">
        <v>15.936</v>
      </c>
      <c r="P121" s="28">
        <v>55.452</v>
      </c>
      <c r="Q121" s="28">
        <v>0.936</v>
      </c>
      <c r="R121" s="28">
        <v>0.002</v>
      </c>
      <c r="S121" s="28">
        <v>10.164</v>
      </c>
      <c r="T121" s="28">
        <v>1.032</v>
      </c>
    </row>
    <row r="122" spans="1:20" s="6" customFormat="1" ht="30" customHeight="1">
      <c r="A122" s="29">
        <v>349</v>
      </c>
      <c r="B122" s="127" t="s">
        <v>42</v>
      </c>
      <c r="C122" s="127"/>
      <c r="D122" s="24">
        <v>200</v>
      </c>
      <c r="E122" s="23">
        <v>5.76</v>
      </c>
      <c r="F122" s="28">
        <v>0.2</v>
      </c>
      <c r="G122" s="28">
        <v>0</v>
      </c>
      <c r="H122" s="28">
        <v>24.42</v>
      </c>
      <c r="I122" s="28">
        <v>98.56</v>
      </c>
      <c r="J122" s="28">
        <v>0</v>
      </c>
      <c r="K122" s="28">
        <v>0</v>
      </c>
      <c r="L122" s="28">
        <v>26.11</v>
      </c>
      <c r="M122" s="28">
        <v>0</v>
      </c>
      <c r="N122" s="28">
        <v>0</v>
      </c>
      <c r="O122" s="28">
        <v>22.6</v>
      </c>
      <c r="P122" s="28">
        <v>7.7</v>
      </c>
      <c r="Q122" s="28">
        <v>0</v>
      </c>
      <c r="R122" s="28">
        <v>0</v>
      </c>
      <c r="S122" s="28">
        <v>3</v>
      </c>
      <c r="T122" s="28">
        <v>0.66</v>
      </c>
    </row>
    <row r="123" spans="1:20" s="6" customFormat="1" ht="11.25" customHeight="1">
      <c r="A123" s="51" t="s">
        <v>30</v>
      </c>
      <c r="B123" s="127" t="s">
        <v>43</v>
      </c>
      <c r="C123" s="127"/>
      <c r="D123" s="24">
        <v>50</v>
      </c>
      <c r="E123" s="23">
        <v>2.35</v>
      </c>
      <c r="F123" s="23">
        <f>2.64*D123/40</f>
        <v>3.3</v>
      </c>
      <c r="G123" s="23">
        <f>0.48*D123/40</f>
        <v>0.6</v>
      </c>
      <c r="H123" s="23">
        <f>13.68*D123/40</f>
        <v>17.1</v>
      </c>
      <c r="I123" s="23">
        <f>F123*4+G123*9+H123*4</f>
        <v>87</v>
      </c>
      <c r="J123" s="23">
        <f>0.08*D123/40</f>
        <v>0.1</v>
      </c>
      <c r="K123" s="23">
        <f>0.04*D123/40</f>
        <v>0.05</v>
      </c>
      <c r="L123" s="23">
        <v>0</v>
      </c>
      <c r="M123" s="23">
        <v>0</v>
      </c>
      <c r="N123" s="23">
        <f>2.4*D123/40</f>
        <v>3</v>
      </c>
      <c r="O123" s="23">
        <f>14*D123/40</f>
        <v>17.5</v>
      </c>
      <c r="P123" s="23">
        <f>63.2*D123/40</f>
        <v>79</v>
      </c>
      <c r="Q123" s="23">
        <f>1.2*D123/40</f>
        <v>1.5</v>
      </c>
      <c r="R123" s="23">
        <f>0.001*D123/40</f>
        <v>0.00125</v>
      </c>
      <c r="S123" s="23">
        <f>9.4*D123/40</f>
        <v>11.75</v>
      </c>
      <c r="T123" s="23">
        <f>0.78*D123/40</f>
        <v>0.975</v>
      </c>
    </row>
    <row r="124" spans="1:20" s="6" customFormat="1" ht="11.25" customHeight="1">
      <c r="A124" s="66" t="s">
        <v>30</v>
      </c>
      <c r="B124" s="127" t="s">
        <v>33</v>
      </c>
      <c r="C124" s="127"/>
      <c r="D124" s="24">
        <v>20</v>
      </c>
      <c r="E124" s="23">
        <v>11.81</v>
      </c>
      <c r="F124" s="30">
        <v>0.65</v>
      </c>
      <c r="G124" s="30">
        <v>3.8</v>
      </c>
      <c r="H124" s="30">
        <v>17.6</v>
      </c>
      <c r="I124" s="30">
        <v>38</v>
      </c>
      <c r="J124" s="30">
        <v>0.026</v>
      </c>
      <c r="K124" s="30">
        <v>0.03</v>
      </c>
      <c r="L124" s="30">
        <v>0.13</v>
      </c>
      <c r="M124" s="30">
        <v>11.96</v>
      </c>
      <c r="N124" s="30">
        <v>0.39</v>
      </c>
      <c r="O124" s="30">
        <v>24.18</v>
      </c>
      <c r="P124" s="30">
        <v>49.4</v>
      </c>
      <c r="Q124" s="30">
        <v>0.2</v>
      </c>
      <c r="R124" s="30">
        <v>0.002</v>
      </c>
      <c r="S124" s="30">
        <v>18.72</v>
      </c>
      <c r="T124" s="30">
        <v>0.182</v>
      </c>
    </row>
    <row r="125" spans="1:20" s="6" customFormat="1" ht="11.25" customHeight="1">
      <c r="A125" s="54" t="s">
        <v>45</v>
      </c>
      <c r="B125" s="55"/>
      <c r="C125" s="55"/>
      <c r="D125" s="34">
        <f>SUM(D118:D124)</f>
        <v>840</v>
      </c>
      <c r="E125" s="35">
        <f>SUM(E118:E124)</f>
        <v>80</v>
      </c>
      <c r="F125" s="36">
        <f>SUM(F118:F124)</f>
        <v>27.46625</v>
      </c>
      <c r="G125" s="36">
        <f aca="true" t="shared" si="26" ref="G125:T125">SUM(G118:G124)</f>
        <v>34.05975</v>
      </c>
      <c r="H125" s="36">
        <f t="shared" si="26"/>
        <v>128.82375</v>
      </c>
      <c r="I125" s="36">
        <f t="shared" si="26"/>
        <v>862.5777499999999</v>
      </c>
      <c r="J125" s="36">
        <f t="shared" si="26"/>
        <v>0.5715</v>
      </c>
      <c r="K125" s="36">
        <f t="shared" si="26"/>
        <v>0.44375</v>
      </c>
      <c r="L125" s="36">
        <f t="shared" si="26"/>
        <v>58.11625</v>
      </c>
      <c r="M125" s="36">
        <f t="shared" si="26"/>
        <v>12.142000000000001</v>
      </c>
      <c r="N125" s="36">
        <f t="shared" si="26"/>
        <v>30.5425</v>
      </c>
      <c r="O125" s="36">
        <f t="shared" si="26"/>
        <v>176.10975</v>
      </c>
      <c r="P125" s="36">
        <f t="shared" si="26"/>
        <v>437.22324999999995</v>
      </c>
      <c r="Q125" s="36">
        <f t="shared" si="26"/>
        <v>5.211</v>
      </c>
      <c r="R125" s="36">
        <f t="shared" si="26"/>
        <v>0.04425000000000001</v>
      </c>
      <c r="S125" s="36">
        <f t="shared" si="26"/>
        <v>102.22775</v>
      </c>
      <c r="T125" s="36">
        <f t="shared" si="26"/>
        <v>6.08775</v>
      </c>
    </row>
    <row r="126" spans="1:20" s="6" customFormat="1" ht="11.25" customHeight="1">
      <c r="A126" s="148" t="s">
        <v>35</v>
      </c>
      <c r="B126" s="148"/>
      <c r="C126" s="148"/>
      <c r="D126" s="148"/>
      <c r="E126" s="69"/>
      <c r="F126" s="80">
        <f aca="true" t="shared" si="27" ref="F126:T126">F125/F133</f>
        <v>0.30518055555555557</v>
      </c>
      <c r="G126" s="58">
        <f t="shared" si="27"/>
        <v>0.37021467391304347</v>
      </c>
      <c r="H126" s="58">
        <f t="shared" si="27"/>
        <v>0.33635443864229764</v>
      </c>
      <c r="I126" s="58">
        <f t="shared" si="27"/>
        <v>0.31712417279411764</v>
      </c>
      <c r="J126" s="58">
        <f t="shared" si="27"/>
        <v>0.40821428571428575</v>
      </c>
      <c r="K126" s="58">
        <f t="shared" si="27"/>
        <v>0.27734374999999994</v>
      </c>
      <c r="L126" s="58">
        <f t="shared" si="27"/>
        <v>0.8302321428571429</v>
      </c>
      <c r="M126" s="58">
        <f t="shared" si="27"/>
        <v>13.491111111111111</v>
      </c>
      <c r="N126" s="58">
        <f t="shared" si="27"/>
        <v>2.5452083333333335</v>
      </c>
      <c r="O126" s="59">
        <f t="shared" si="27"/>
        <v>0.146758125</v>
      </c>
      <c r="P126" s="58">
        <f t="shared" si="27"/>
        <v>0.3643527083333333</v>
      </c>
      <c r="Q126" s="58">
        <f t="shared" si="27"/>
        <v>0.3722142857142857</v>
      </c>
      <c r="R126" s="58">
        <f t="shared" si="27"/>
        <v>0.4425000000000001</v>
      </c>
      <c r="S126" s="58">
        <f t="shared" si="27"/>
        <v>0.34075916666666667</v>
      </c>
      <c r="T126" s="59">
        <f t="shared" si="27"/>
        <v>0.33820833333333333</v>
      </c>
    </row>
    <row r="127" spans="1:20" s="6" customFormat="1" ht="11.25" customHeight="1">
      <c r="A127" s="143" t="s">
        <v>46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</row>
    <row r="128" spans="1:20" s="6" customFormat="1" ht="12" customHeight="1">
      <c r="A128" s="17"/>
      <c r="B128" s="127" t="s">
        <v>83</v>
      </c>
      <c r="C128" s="127"/>
      <c r="D128" s="24">
        <v>75</v>
      </c>
      <c r="E128" s="23">
        <v>24.9</v>
      </c>
      <c r="F128" s="23">
        <v>11</v>
      </c>
      <c r="G128" s="23">
        <v>9.5</v>
      </c>
      <c r="H128" s="23">
        <v>31.5</v>
      </c>
      <c r="I128" s="23">
        <f>F128*4+G128*9+H128*4</f>
        <v>255.5</v>
      </c>
      <c r="J128" s="23">
        <v>0.1</v>
      </c>
      <c r="K128" s="23">
        <v>0.3</v>
      </c>
      <c r="L128" s="23">
        <v>0.6</v>
      </c>
      <c r="M128" s="23">
        <v>0.13</v>
      </c>
      <c r="N128" s="23">
        <v>1.8</v>
      </c>
      <c r="O128" s="23">
        <v>18.6</v>
      </c>
      <c r="P128" s="23">
        <v>113.8</v>
      </c>
      <c r="Q128" s="23">
        <v>1.63</v>
      </c>
      <c r="R128" s="23">
        <v>0.01</v>
      </c>
      <c r="S128" s="23">
        <v>17.4</v>
      </c>
      <c r="T128" s="23">
        <v>0.6</v>
      </c>
    </row>
    <row r="129" spans="1:20" s="6" customFormat="1" ht="18.75" customHeight="1">
      <c r="A129" s="17">
        <v>345</v>
      </c>
      <c r="B129" s="127" t="s">
        <v>64</v>
      </c>
      <c r="C129" s="127"/>
      <c r="D129" s="24">
        <v>200</v>
      </c>
      <c r="E129" s="23">
        <v>5.1</v>
      </c>
      <c r="F129" s="28">
        <v>0.06</v>
      </c>
      <c r="G129" s="28">
        <v>0.02</v>
      </c>
      <c r="H129" s="28">
        <v>20.73</v>
      </c>
      <c r="I129" s="28">
        <v>83.34</v>
      </c>
      <c r="J129" s="28">
        <v>0</v>
      </c>
      <c r="K129" s="28">
        <v>0</v>
      </c>
      <c r="L129" s="28">
        <v>2.5</v>
      </c>
      <c r="M129" s="28">
        <v>0.004</v>
      </c>
      <c r="N129" s="28">
        <v>0.2</v>
      </c>
      <c r="O129" s="28">
        <v>4</v>
      </c>
      <c r="P129" s="28">
        <v>3.3</v>
      </c>
      <c r="Q129" s="28">
        <v>0.08</v>
      </c>
      <c r="R129" s="28">
        <v>0.001</v>
      </c>
      <c r="S129" s="28">
        <v>1.7</v>
      </c>
      <c r="T129" s="28">
        <v>0.15</v>
      </c>
    </row>
    <row r="130" spans="1:20" s="9" customFormat="1" ht="11.25" customHeight="1">
      <c r="A130" s="54" t="s">
        <v>49</v>
      </c>
      <c r="B130" s="55"/>
      <c r="C130" s="55"/>
      <c r="D130" s="34">
        <f>SUM(D128:D129)</f>
        <v>275</v>
      </c>
      <c r="E130" s="35">
        <f>SUM(E128:E129)</f>
        <v>30</v>
      </c>
      <c r="F130" s="35">
        <f>SUM(F128:F129)</f>
        <v>11.06</v>
      </c>
      <c r="G130" s="35">
        <f aca="true" t="shared" si="28" ref="G130:T130">SUM(G128:G129)</f>
        <v>9.52</v>
      </c>
      <c r="H130" s="35">
        <f t="shared" si="28"/>
        <v>52.230000000000004</v>
      </c>
      <c r="I130" s="35">
        <f t="shared" si="28"/>
        <v>338.84000000000003</v>
      </c>
      <c r="J130" s="35">
        <f t="shared" si="28"/>
        <v>0.1</v>
      </c>
      <c r="K130" s="35">
        <f t="shared" si="28"/>
        <v>0.3</v>
      </c>
      <c r="L130" s="35">
        <f t="shared" si="28"/>
        <v>3.1</v>
      </c>
      <c r="M130" s="35">
        <f t="shared" si="28"/>
        <v>0.134</v>
      </c>
      <c r="N130" s="35">
        <f t="shared" si="28"/>
        <v>2</v>
      </c>
      <c r="O130" s="35">
        <f t="shared" si="28"/>
        <v>22.6</v>
      </c>
      <c r="P130" s="35">
        <f t="shared" si="28"/>
        <v>117.1</v>
      </c>
      <c r="Q130" s="35">
        <f t="shared" si="28"/>
        <v>1.71</v>
      </c>
      <c r="R130" s="35">
        <f t="shared" si="28"/>
        <v>0.011</v>
      </c>
      <c r="S130" s="35">
        <f t="shared" si="28"/>
        <v>19.099999999999998</v>
      </c>
      <c r="T130" s="35">
        <f t="shared" si="28"/>
        <v>0.75</v>
      </c>
    </row>
    <row r="131" spans="1:20" s="9" customFormat="1" ht="11.25" customHeight="1">
      <c r="A131" s="148" t="s">
        <v>35</v>
      </c>
      <c r="B131" s="148"/>
      <c r="C131" s="148"/>
      <c r="D131" s="148"/>
      <c r="E131" s="39"/>
      <c r="F131" s="58">
        <f aca="true" t="shared" si="29" ref="F131:T131">F130/F133</f>
        <v>0.1228888888888889</v>
      </c>
      <c r="G131" s="58">
        <f t="shared" si="29"/>
        <v>0.10347826086956521</v>
      </c>
      <c r="H131" s="58">
        <f t="shared" si="29"/>
        <v>0.13637075718015668</v>
      </c>
      <c r="I131" s="58">
        <f t="shared" si="29"/>
        <v>0.12457352941176472</v>
      </c>
      <c r="J131" s="58">
        <f t="shared" si="29"/>
        <v>0.07142857142857144</v>
      </c>
      <c r="K131" s="58">
        <f t="shared" si="29"/>
        <v>0.18749999999999997</v>
      </c>
      <c r="L131" s="58">
        <f t="shared" si="29"/>
        <v>0.04428571428571429</v>
      </c>
      <c r="M131" s="58">
        <f t="shared" si="29"/>
        <v>0.1488888888888889</v>
      </c>
      <c r="N131" s="58">
        <f t="shared" si="29"/>
        <v>0.16666666666666666</v>
      </c>
      <c r="O131" s="58">
        <f t="shared" si="29"/>
        <v>0.018833333333333334</v>
      </c>
      <c r="P131" s="58">
        <f t="shared" si="29"/>
        <v>0.09758333333333333</v>
      </c>
      <c r="Q131" s="58">
        <f t="shared" si="29"/>
        <v>0.12214285714285714</v>
      </c>
      <c r="R131" s="58">
        <f t="shared" si="29"/>
        <v>0.10999999999999999</v>
      </c>
      <c r="S131" s="58">
        <f t="shared" si="29"/>
        <v>0.06366666666666666</v>
      </c>
      <c r="T131" s="59">
        <f t="shared" si="29"/>
        <v>0.041666666666666664</v>
      </c>
    </row>
    <row r="132" spans="1:20" s="9" customFormat="1" ht="11.25" customHeight="1">
      <c r="A132" s="138" t="s">
        <v>50</v>
      </c>
      <c r="B132" s="138"/>
      <c r="C132" s="138"/>
      <c r="D132" s="138"/>
      <c r="E132" s="39"/>
      <c r="F132" s="36">
        <f aca="true" t="shared" si="30" ref="F132:T132">SUM(F115,F125,F130)</f>
        <v>57.94291666666667</v>
      </c>
      <c r="G132" s="37">
        <f t="shared" si="30"/>
        <v>69.72308333333334</v>
      </c>
      <c r="H132" s="37">
        <f t="shared" si="30"/>
        <v>260.16375</v>
      </c>
      <c r="I132" s="37">
        <f t="shared" si="30"/>
        <v>1830.9944166666664</v>
      </c>
      <c r="J132" s="36">
        <f t="shared" si="30"/>
        <v>1.1051666666666669</v>
      </c>
      <c r="K132" s="36">
        <f t="shared" si="30"/>
        <v>1.0250833333333333</v>
      </c>
      <c r="L132" s="37">
        <f t="shared" si="30"/>
        <v>72.92591666666667</v>
      </c>
      <c r="M132" s="36">
        <f t="shared" si="30"/>
        <v>37.866</v>
      </c>
      <c r="N132" s="36">
        <f t="shared" si="30"/>
        <v>36.91583333333333</v>
      </c>
      <c r="O132" s="37">
        <f t="shared" si="30"/>
        <v>378.34308333333337</v>
      </c>
      <c r="P132" s="37">
        <f t="shared" si="30"/>
        <v>916.7165833333332</v>
      </c>
      <c r="Q132" s="36">
        <f t="shared" si="30"/>
        <v>10.367666666666668</v>
      </c>
      <c r="R132" s="38">
        <f t="shared" si="30"/>
        <v>2.6235833333333325</v>
      </c>
      <c r="S132" s="36">
        <f t="shared" si="30"/>
        <v>213.63775</v>
      </c>
      <c r="T132" s="36">
        <f t="shared" si="30"/>
        <v>10.251083333333334</v>
      </c>
    </row>
    <row r="133" spans="1:20" s="9" customFormat="1" ht="11.25" customHeight="1">
      <c r="A133" s="138" t="s">
        <v>51</v>
      </c>
      <c r="B133" s="138"/>
      <c r="C133" s="138"/>
      <c r="D133" s="138"/>
      <c r="E133" s="39"/>
      <c r="F133" s="23">
        <v>90</v>
      </c>
      <c r="G133" s="53">
        <v>92</v>
      </c>
      <c r="H133" s="53">
        <v>383</v>
      </c>
      <c r="I133" s="53">
        <v>2720</v>
      </c>
      <c r="J133" s="23">
        <v>1.4</v>
      </c>
      <c r="K133" s="23">
        <v>1.6</v>
      </c>
      <c r="L133" s="24">
        <v>70</v>
      </c>
      <c r="M133" s="23">
        <v>0.9</v>
      </c>
      <c r="N133" s="24">
        <v>12</v>
      </c>
      <c r="O133" s="24">
        <v>1200</v>
      </c>
      <c r="P133" s="24">
        <v>1200</v>
      </c>
      <c r="Q133" s="24">
        <v>14</v>
      </c>
      <c r="R133" s="53">
        <v>0.1</v>
      </c>
      <c r="S133" s="24">
        <v>300</v>
      </c>
      <c r="T133" s="23">
        <v>18</v>
      </c>
    </row>
    <row r="134" spans="1:20" s="9" customFormat="1" ht="11.25" customHeight="1">
      <c r="A134" s="148" t="s">
        <v>35</v>
      </c>
      <c r="B134" s="148"/>
      <c r="C134" s="148"/>
      <c r="D134" s="148"/>
      <c r="E134" s="39"/>
      <c r="F134" s="58">
        <f aca="true" t="shared" si="31" ref="F134:T134">F132/F133</f>
        <v>0.6438101851851852</v>
      </c>
      <c r="G134" s="59">
        <f t="shared" si="31"/>
        <v>0.7578596014492753</v>
      </c>
      <c r="H134" s="59">
        <f t="shared" si="31"/>
        <v>0.6792787206266319</v>
      </c>
      <c r="I134" s="59">
        <f t="shared" si="31"/>
        <v>0.6731597120098038</v>
      </c>
      <c r="J134" s="59">
        <f t="shared" si="31"/>
        <v>0.789404761904762</v>
      </c>
      <c r="K134" s="59">
        <f t="shared" si="31"/>
        <v>0.6406770833333333</v>
      </c>
      <c r="L134" s="59">
        <f t="shared" si="31"/>
        <v>1.0417988095238095</v>
      </c>
      <c r="M134" s="60">
        <f t="shared" si="31"/>
        <v>42.07333333333333</v>
      </c>
      <c r="N134" s="60">
        <f t="shared" si="31"/>
        <v>3.076319444444444</v>
      </c>
      <c r="O134" s="59">
        <f t="shared" si="31"/>
        <v>0.3152859027777778</v>
      </c>
      <c r="P134" s="59">
        <f t="shared" si="31"/>
        <v>0.763930486111111</v>
      </c>
      <c r="Q134" s="59">
        <f t="shared" si="31"/>
        <v>0.7405476190476191</v>
      </c>
      <c r="R134" s="60">
        <f t="shared" si="31"/>
        <v>26.235833333333325</v>
      </c>
      <c r="S134" s="59">
        <f t="shared" si="31"/>
        <v>0.7121258333333333</v>
      </c>
      <c r="T134" s="60">
        <f t="shared" si="31"/>
        <v>0.5695046296296297</v>
      </c>
    </row>
    <row r="135" spans="1:20" s="9" customFormat="1" ht="11.25" customHeight="1">
      <c r="A135" s="5" t="s">
        <v>67</v>
      </c>
      <c r="B135" s="5"/>
      <c r="C135" s="61"/>
      <c r="D135" s="61"/>
      <c r="E135" s="62"/>
      <c r="F135" s="11"/>
      <c r="G135" s="6"/>
      <c r="H135" s="8"/>
      <c r="I135" s="8"/>
      <c r="J135" s="6"/>
      <c r="K135" s="6"/>
      <c r="L135" s="6"/>
      <c r="M135" s="128" t="s">
        <v>0</v>
      </c>
      <c r="N135" s="128"/>
      <c r="O135" s="128"/>
      <c r="P135" s="128"/>
      <c r="Q135" s="128"/>
      <c r="R135" s="128"/>
      <c r="S135" s="128"/>
      <c r="T135" s="128"/>
    </row>
    <row r="136" spans="1:20" s="9" customFormat="1" ht="11.25" customHeight="1">
      <c r="A136" s="5"/>
      <c r="B136" s="5"/>
      <c r="C136" s="61"/>
      <c r="D136" s="61"/>
      <c r="E136" s="62"/>
      <c r="F136" s="11"/>
      <c r="G136" s="6"/>
      <c r="H136" s="8"/>
      <c r="I136" s="8"/>
      <c r="J136" s="6"/>
      <c r="K136" s="6"/>
      <c r="L136" s="6"/>
      <c r="M136" s="74"/>
      <c r="N136" s="74"/>
      <c r="O136" s="74"/>
      <c r="P136" s="74"/>
      <c r="Q136" s="74"/>
      <c r="R136" s="74"/>
      <c r="S136" s="74"/>
      <c r="T136" s="74"/>
    </row>
    <row r="137" spans="1:20" s="9" customFormat="1" ht="11.25" customHeight="1">
      <c r="A137" s="147" t="s">
        <v>84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</row>
    <row r="138" spans="1:20" s="9" customFormat="1" ht="11.25" customHeight="1">
      <c r="A138" s="10" t="s">
        <v>2</v>
      </c>
      <c r="B138" s="5"/>
      <c r="C138" s="5"/>
      <c r="D138" s="8"/>
      <c r="E138" s="11"/>
      <c r="F138" s="7"/>
      <c r="G138" s="130" t="s">
        <v>85</v>
      </c>
      <c r="H138" s="130"/>
      <c r="I138" s="130"/>
      <c r="J138" s="6"/>
      <c r="K138" s="6"/>
      <c r="L138" s="131"/>
      <c r="M138" s="131"/>
      <c r="N138" s="132"/>
      <c r="O138" s="132"/>
      <c r="P138" s="132"/>
      <c r="Q138" s="132"/>
      <c r="R138" s="6"/>
      <c r="S138" s="6"/>
      <c r="T138" s="6"/>
    </row>
    <row r="139" spans="1:20" s="9" customFormat="1" ht="11.25" customHeight="1">
      <c r="A139" s="5"/>
      <c r="B139" s="5"/>
      <c r="C139" s="5"/>
      <c r="D139" s="149" t="s">
        <v>4</v>
      </c>
      <c r="E139" s="149"/>
      <c r="F139" s="149"/>
      <c r="G139" s="12">
        <v>1</v>
      </c>
      <c r="H139" s="6"/>
      <c r="I139" s="8"/>
      <c r="J139" s="8"/>
      <c r="K139" s="8"/>
      <c r="L139" s="149"/>
      <c r="M139" s="149"/>
      <c r="N139" s="130"/>
      <c r="O139" s="130"/>
      <c r="P139" s="130"/>
      <c r="Q139" s="130"/>
      <c r="R139" s="130"/>
      <c r="S139" s="130"/>
      <c r="T139" s="130"/>
    </row>
    <row r="140" spans="1:20" s="9" customFormat="1" ht="21.75" customHeight="1">
      <c r="A140" s="133" t="s">
        <v>54</v>
      </c>
      <c r="B140" s="133" t="s">
        <v>55</v>
      </c>
      <c r="C140" s="133"/>
      <c r="D140" s="133" t="s">
        <v>7</v>
      </c>
      <c r="E140" s="75"/>
      <c r="F140" s="133" t="s">
        <v>8</v>
      </c>
      <c r="G140" s="133"/>
      <c r="H140" s="133"/>
      <c r="I140" s="133" t="s">
        <v>9</v>
      </c>
      <c r="J140" s="133" t="s">
        <v>10</v>
      </c>
      <c r="K140" s="133"/>
      <c r="L140" s="133"/>
      <c r="M140" s="133"/>
      <c r="N140" s="133"/>
      <c r="O140" s="133" t="s">
        <v>11</v>
      </c>
      <c r="P140" s="133"/>
      <c r="Q140" s="133"/>
      <c r="R140" s="133"/>
      <c r="S140" s="133"/>
      <c r="T140" s="133"/>
    </row>
    <row r="141" spans="1:20" s="9" customFormat="1" ht="21" customHeight="1">
      <c r="A141" s="133"/>
      <c r="B141" s="133"/>
      <c r="C141" s="133"/>
      <c r="D141" s="133"/>
      <c r="E141" s="15"/>
      <c r="F141" s="16" t="s">
        <v>12</v>
      </c>
      <c r="G141" s="13" t="s">
        <v>13</v>
      </c>
      <c r="H141" s="13" t="s">
        <v>14</v>
      </c>
      <c r="I141" s="133"/>
      <c r="J141" s="13" t="s">
        <v>15</v>
      </c>
      <c r="K141" s="13" t="s">
        <v>16</v>
      </c>
      <c r="L141" s="13" t="s">
        <v>17</v>
      </c>
      <c r="M141" s="13" t="s">
        <v>18</v>
      </c>
      <c r="N141" s="13" t="s">
        <v>19</v>
      </c>
      <c r="O141" s="13" t="s">
        <v>20</v>
      </c>
      <c r="P141" s="13" t="s">
        <v>21</v>
      </c>
      <c r="Q141" s="13" t="s">
        <v>22</v>
      </c>
      <c r="R141" s="13" t="s">
        <v>23</v>
      </c>
      <c r="S141" s="13" t="s">
        <v>24</v>
      </c>
      <c r="T141" s="13" t="s">
        <v>25</v>
      </c>
    </row>
    <row r="142" spans="1:20" s="9" customFormat="1" ht="11.25" customHeight="1">
      <c r="A142" s="17">
        <v>1</v>
      </c>
      <c r="B142" s="142">
        <v>2</v>
      </c>
      <c r="C142" s="142"/>
      <c r="D142" s="18">
        <v>3</v>
      </c>
      <c r="E142" s="19"/>
      <c r="F142" s="19">
        <v>4</v>
      </c>
      <c r="G142" s="18">
        <v>5</v>
      </c>
      <c r="H142" s="18">
        <v>6</v>
      </c>
      <c r="I142" s="18">
        <v>7</v>
      </c>
      <c r="J142" s="18">
        <v>8</v>
      </c>
      <c r="K142" s="18">
        <v>9</v>
      </c>
      <c r="L142" s="18">
        <v>10</v>
      </c>
      <c r="M142" s="18">
        <v>11</v>
      </c>
      <c r="N142" s="18">
        <v>12</v>
      </c>
      <c r="O142" s="18">
        <v>13</v>
      </c>
      <c r="P142" s="18">
        <v>14</v>
      </c>
      <c r="Q142" s="18">
        <v>15</v>
      </c>
      <c r="R142" s="18">
        <v>16</v>
      </c>
      <c r="S142" s="18">
        <v>17</v>
      </c>
      <c r="T142" s="18">
        <v>18</v>
      </c>
    </row>
    <row r="143" spans="1:20" s="9" customFormat="1" ht="11.25" customHeight="1">
      <c r="A143" s="143" t="s">
        <v>26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</row>
    <row r="144" spans="1:20" s="9" customFormat="1" ht="11.25" customHeight="1">
      <c r="A144" s="115" t="s">
        <v>30</v>
      </c>
      <c r="B144" s="145" t="s">
        <v>93</v>
      </c>
      <c r="C144" s="145"/>
      <c r="D144" s="112">
        <v>50</v>
      </c>
      <c r="E144" s="119">
        <v>15</v>
      </c>
      <c r="F144" s="119">
        <v>11.599999999999998</v>
      </c>
      <c r="G144" s="119">
        <v>17</v>
      </c>
      <c r="H144" s="119">
        <v>0.05</v>
      </c>
      <c r="I144" s="119">
        <v>199.59999999999997</v>
      </c>
      <c r="J144" s="119">
        <v>0.02</v>
      </c>
      <c r="K144" s="119">
        <v>0.15</v>
      </c>
      <c r="L144" s="119">
        <v>0.35000000000000003</v>
      </c>
      <c r="M144" s="119">
        <v>0.11499999999999999</v>
      </c>
      <c r="N144" s="119">
        <v>0.25</v>
      </c>
      <c r="O144" s="119">
        <v>440</v>
      </c>
      <c r="P144" s="119">
        <v>250</v>
      </c>
      <c r="Q144" s="119">
        <v>2</v>
      </c>
      <c r="R144" s="119">
        <v>0.1</v>
      </c>
      <c r="S144" s="119">
        <v>17.5</v>
      </c>
      <c r="T144" s="119">
        <v>0.65</v>
      </c>
    </row>
    <row r="145" spans="1:20" s="6" customFormat="1" ht="11.25" customHeight="1">
      <c r="A145" s="111">
        <v>175</v>
      </c>
      <c r="B145" s="139" t="s">
        <v>94</v>
      </c>
      <c r="C145" s="139"/>
      <c r="D145" s="112">
        <v>200</v>
      </c>
      <c r="E145" s="119">
        <v>18.02</v>
      </c>
      <c r="F145" s="119">
        <v>10.44</v>
      </c>
      <c r="G145" s="119">
        <v>11.11</v>
      </c>
      <c r="H145" s="119">
        <v>41.3</v>
      </c>
      <c r="I145" s="119">
        <v>207</v>
      </c>
      <c r="J145" s="119">
        <v>0.26</v>
      </c>
      <c r="K145" s="119">
        <v>0.18</v>
      </c>
      <c r="L145" s="119">
        <v>1.2</v>
      </c>
      <c r="M145" s="119">
        <v>81</v>
      </c>
      <c r="N145" s="119">
        <v>1.3</v>
      </c>
      <c r="O145" s="119">
        <v>158.6</v>
      </c>
      <c r="P145" s="119">
        <v>257.3</v>
      </c>
      <c r="Q145" s="109">
        <v>0</v>
      </c>
      <c r="R145" s="119">
        <v>0</v>
      </c>
      <c r="S145" s="119">
        <v>86.7</v>
      </c>
      <c r="T145" s="119">
        <v>2.75</v>
      </c>
    </row>
    <row r="146" spans="1:20" s="6" customFormat="1" ht="13.5" customHeight="1">
      <c r="A146" s="111">
        <v>377</v>
      </c>
      <c r="B146" s="139" t="s">
        <v>48</v>
      </c>
      <c r="C146" s="139"/>
      <c r="D146" s="112">
        <v>200</v>
      </c>
      <c r="E146" s="119">
        <v>3.3</v>
      </c>
      <c r="F146" s="109">
        <v>0.26</v>
      </c>
      <c r="G146" s="109">
        <v>0.06</v>
      </c>
      <c r="H146" s="109">
        <v>15.22</v>
      </c>
      <c r="I146" s="109">
        <v>62.46</v>
      </c>
      <c r="J146" s="109">
        <v>0</v>
      </c>
      <c r="K146" s="109">
        <v>0.01</v>
      </c>
      <c r="L146" s="109">
        <v>2.9</v>
      </c>
      <c r="M146" s="109">
        <v>0</v>
      </c>
      <c r="N146" s="109">
        <v>0.06</v>
      </c>
      <c r="O146" s="109">
        <v>8.05</v>
      </c>
      <c r="P146" s="109">
        <v>9.78</v>
      </c>
      <c r="Q146" s="109">
        <v>0.017</v>
      </c>
      <c r="R146" s="109">
        <v>0</v>
      </c>
      <c r="S146" s="109">
        <v>5.24</v>
      </c>
      <c r="T146" s="109">
        <v>0.87</v>
      </c>
    </row>
    <row r="147" spans="1:20" s="6" customFormat="1" ht="11.25" customHeight="1">
      <c r="A147" s="70" t="s">
        <v>30</v>
      </c>
      <c r="B147" s="141" t="s">
        <v>44</v>
      </c>
      <c r="C147" s="141"/>
      <c r="D147" s="117">
        <v>200</v>
      </c>
      <c r="E147" s="118">
        <v>30.97</v>
      </c>
      <c r="F147" s="28">
        <v>0.9</v>
      </c>
      <c r="G147" s="28">
        <v>0.2</v>
      </c>
      <c r="H147" s="28">
        <v>8.1</v>
      </c>
      <c r="I147" s="28">
        <v>136.6</v>
      </c>
      <c r="J147" s="28">
        <v>0.04</v>
      </c>
      <c r="K147" s="28">
        <v>0.03</v>
      </c>
      <c r="L147" s="28">
        <v>60</v>
      </c>
      <c r="M147" s="28">
        <v>0</v>
      </c>
      <c r="N147" s="28">
        <v>0.2</v>
      </c>
      <c r="O147" s="28">
        <v>34</v>
      </c>
      <c r="P147" s="28">
        <v>23</v>
      </c>
      <c r="Q147" s="28">
        <v>0.2</v>
      </c>
      <c r="R147" s="28">
        <v>0</v>
      </c>
      <c r="S147" s="28">
        <v>15</v>
      </c>
      <c r="T147" s="28">
        <v>0.3</v>
      </c>
    </row>
    <row r="148" spans="1:20" s="6" customFormat="1" ht="11.25" customHeight="1">
      <c r="A148" s="26" t="s">
        <v>30</v>
      </c>
      <c r="B148" s="140" t="s">
        <v>31</v>
      </c>
      <c r="C148" s="140"/>
      <c r="D148" s="27" t="s">
        <v>32</v>
      </c>
      <c r="E148" s="118"/>
      <c r="F148" s="30">
        <v>5.6</v>
      </c>
      <c r="G148" s="30">
        <v>6.4</v>
      </c>
      <c r="H148" s="30">
        <v>9.4</v>
      </c>
      <c r="I148" s="30">
        <v>117.6</v>
      </c>
      <c r="J148" s="30">
        <v>0.08</v>
      </c>
      <c r="K148" s="30">
        <v>0.307</v>
      </c>
      <c r="L148" s="30">
        <v>2.6</v>
      </c>
      <c r="M148" s="30">
        <v>0.067</v>
      </c>
      <c r="N148" s="30">
        <v>0.292</v>
      </c>
      <c r="O148" s="30">
        <v>240</v>
      </c>
      <c r="P148" s="30">
        <v>180</v>
      </c>
      <c r="Q148" s="30">
        <v>0.8</v>
      </c>
      <c r="R148" s="30">
        <v>0.018</v>
      </c>
      <c r="S148" s="30">
        <v>28</v>
      </c>
      <c r="T148" s="30">
        <v>0.12</v>
      </c>
    </row>
    <row r="149" spans="1:20" s="6" customFormat="1" ht="11.25" customHeight="1">
      <c r="A149" s="32" t="s">
        <v>34</v>
      </c>
      <c r="B149" s="85"/>
      <c r="C149" s="85"/>
      <c r="D149" s="86">
        <v>685</v>
      </c>
      <c r="E149" s="87">
        <f>SUM(E144:E147)</f>
        <v>67.28999999999999</v>
      </c>
      <c r="F149" s="88">
        <f>SUM(F144:F148)</f>
        <v>28.799999999999997</v>
      </c>
      <c r="G149" s="88">
        <f aca="true" t="shared" si="32" ref="G149:T149">SUM(G144:G148)</f>
        <v>34.769999999999996</v>
      </c>
      <c r="H149" s="88">
        <f t="shared" si="32"/>
        <v>74.07</v>
      </c>
      <c r="I149" s="88">
        <f t="shared" si="32"/>
        <v>723.26</v>
      </c>
      <c r="J149" s="88">
        <f t="shared" si="32"/>
        <v>0.4</v>
      </c>
      <c r="K149" s="88">
        <f t="shared" si="32"/>
        <v>0.677</v>
      </c>
      <c r="L149" s="88">
        <f t="shared" si="32"/>
        <v>67.05</v>
      </c>
      <c r="M149" s="88">
        <f t="shared" si="32"/>
        <v>81.18199999999999</v>
      </c>
      <c r="N149" s="88">
        <f t="shared" si="32"/>
        <v>2.102</v>
      </c>
      <c r="O149" s="88">
        <f t="shared" si="32"/>
        <v>880.65</v>
      </c>
      <c r="P149" s="88">
        <f t="shared" si="32"/>
        <v>720.08</v>
      </c>
      <c r="Q149" s="88">
        <f t="shared" si="32"/>
        <v>3.0170000000000003</v>
      </c>
      <c r="R149" s="88">
        <f t="shared" si="32"/>
        <v>0.11800000000000001</v>
      </c>
      <c r="S149" s="88">
        <f t="shared" si="32"/>
        <v>152.44</v>
      </c>
      <c r="T149" s="88">
        <f t="shared" si="32"/>
        <v>4.6899999999999995</v>
      </c>
    </row>
    <row r="150" spans="1:20" s="6" customFormat="1" ht="11.25" customHeight="1">
      <c r="A150" s="155" t="s">
        <v>35</v>
      </c>
      <c r="B150" s="155"/>
      <c r="C150" s="155"/>
      <c r="D150" s="155"/>
      <c r="E150" s="89"/>
      <c r="F150" s="90">
        <f aca="true" t="shared" si="33" ref="F150:T150">F149/F167</f>
        <v>0.31999999999999995</v>
      </c>
      <c r="G150" s="91">
        <f t="shared" si="33"/>
        <v>0.3779347826086956</v>
      </c>
      <c r="H150" s="91">
        <f t="shared" si="33"/>
        <v>0.1933942558746736</v>
      </c>
      <c r="I150" s="91">
        <f t="shared" si="33"/>
        <v>0.26590441176470586</v>
      </c>
      <c r="J150" s="91">
        <f t="shared" si="33"/>
        <v>0.28571428571428575</v>
      </c>
      <c r="K150" s="91">
        <f t="shared" si="33"/>
        <v>0.42312500000000003</v>
      </c>
      <c r="L150" s="91">
        <f t="shared" si="33"/>
        <v>0.9578571428571429</v>
      </c>
      <c r="M150" s="91">
        <f t="shared" si="33"/>
        <v>90.2022222222222</v>
      </c>
      <c r="N150" s="91">
        <f t="shared" si="33"/>
        <v>0.17516666666666666</v>
      </c>
      <c r="O150" s="91">
        <f t="shared" si="33"/>
        <v>0.7338749999999999</v>
      </c>
      <c r="P150" s="91">
        <f t="shared" si="33"/>
        <v>0.6000666666666667</v>
      </c>
      <c r="Q150" s="91">
        <f t="shared" si="33"/>
        <v>0.21550000000000002</v>
      </c>
      <c r="R150" s="91">
        <f t="shared" si="33"/>
        <v>1.18</v>
      </c>
      <c r="S150" s="91">
        <f t="shared" si="33"/>
        <v>0.5081333333333333</v>
      </c>
      <c r="T150" s="92">
        <f t="shared" si="33"/>
        <v>0.26055555555555554</v>
      </c>
    </row>
    <row r="151" spans="1:20" s="6" customFormat="1" ht="11.25" customHeight="1">
      <c r="A151" s="156" t="s">
        <v>36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</row>
    <row r="152" spans="1:20" s="6" customFormat="1" ht="15" customHeight="1">
      <c r="A152" s="29">
        <v>52</v>
      </c>
      <c r="B152" s="127" t="s">
        <v>61</v>
      </c>
      <c r="C152" s="127"/>
      <c r="D152" s="24">
        <v>60</v>
      </c>
      <c r="E152" s="23">
        <v>3.29</v>
      </c>
      <c r="F152" s="23">
        <f>0.86*D152/60</f>
        <v>0.86</v>
      </c>
      <c r="G152" s="23">
        <f>3.05*D152/60</f>
        <v>3.05</v>
      </c>
      <c r="H152" s="23">
        <f>5.13*D152/60</f>
        <v>5.13</v>
      </c>
      <c r="I152" s="23">
        <f>F152*4+G152*9+H152*4</f>
        <v>51.41</v>
      </c>
      <c r="J152" s="23">
        <f>0.01*D152/60</f>
        <v>0.01</v>
      </c>
      <c r="K152" s="23">
        <f>0.02*D152/60</f>
        <v>0.02</v>
      </c>
      <c r="L152" s="23">
        <f>5.7*D152/60</f>
        <v>5.7</v>
      </c>
      <c r="M152" s="23">
        <f>0.01*D152/60</f>
        <v>0.01</v>
      </c>
      <c r="N152" s="23">
        <f>0.1*D152/60</f>
        <v>0.1</v>
      </c>
      <c r="O152" s="23">
        <f>26.61*D152/60</f>
        <v>26.61</v>
      </c>
      <c r="P152" s="23">
        <f>25.64*D152/60</f>
        <v>25.64</v>
      </c>
      <c r="Q152" s="23">
        <f>0.43*D152/60</f>
        <v>0.43</v>
      </c>
      <c r="R152" s="23">
        <f>0.01*D152/60</f>
        <v>0.01</v>
      </c>
      <c r="S152" s="23">
        <f>12.87*D152/60</f>
        <v>12.87</v>
      </c>
      <c r="T152" s="23">
        <f>0.84*D152/60</f>
        <v>0.84</v>
      </c>
    </row>
    <row r="153" spans="1:20" s="6" customFormat="1" ht="21.75" customHeight="1">
      <c r="A153" s="81">
        <v>106</v>
      </c>
      <c r="B153" s="157" t="s">
        <v>86</v>
      </c>
      <c r="C153" s="157"/>
      <c r="D153" s="82">
        <v>250</v>
      </c>
      <c r="E153" s="22">
        <v>15.53</v>
      </c>
      <c r="F153" s="22">
        <v>14.5</v>
      </c>
      <c r="G153" s="22">
        <v>15.4</v>
      </c>
      <c r="H153" s="22">
        <v>33.1</v>
      </c>
      <c r="I153" s="22">
        <v>329</v>
      </c>
      <c r="J153" s="22">
        <v>0.21</v>
      </c>
      <c r="K153" s="22">
        <v>0.15</v>
      </c>
      <c r="L153" s="22">
        <v>0.41</v>
      </c>
      <c r="M153" s="22">
        <v>0.02</v>
      </c>
      <c r="N153" s="22">
        <v>0.067</v>
      </c>
      <c r="O153" s="22">
        <v>42.66</v>
      </c>
      <c r="P153" s="22">
        <v>161</v>
      </c>
      <c r="Q153" s="22">
        <v>1.88</v>
      </c>
      <c r="R153" s="22">
        <v>0.05</v>
      </c>
      <c r="S153" s="22">
        <v>24.6</v>
      </c>
      <c r="T153" s="22">
        <v>1.77</v>
      </c>
    </row>
    <row r="154" spans="1:20" s="6" customFormat="1" ht="12.75" customHeight="1">
      <c r="A154" s="17">
        <v>295</v>
      </c>
      <c r="B154" s="127" t="s">
        <v>87</v>
      </c>
      <c r="C154" s="127"/>
      <c r="D154" s="25">
        <v>80</v>
      </c>
      <c r="E154" s="23">
        <v>30.85</v>
      </c>
      <c r="F154" s="84">
        <v>12.192</v>
      </c>
      <c r="G154" s="84">
        <v>4.64</v>
      </c>
      <c r="H154" s="84">
        <v>8.128</v>
      </c>
      <c r="I154" s="84">
        <v>250</v>
      </c>
      <c r="J154" s="84">
        <v>0.072</v>
      </c>
      <c r="K154" s="84">
        <v>0.064</v>
      </c>
      <c r="L154" s="84">
        <v>0.192</v>
      </c>
      <c r="M154" s="84">
        <v>0.0008</v>
      </c>
      <c r="N154" s="84">
        <v>0.0592</v>
      </c>
      <c r="O154" s="84">
        <v>11.223999999999998</v>
      </c>
      <c r="P154" s="84">
        <v>75.18400000000001</v>
      </c>
      <c r="Q154" s="84">
        <v>0.9359999999999999</v>
      </c>
      <c r="R154" s="84">
        <v>0.032</v>
      </c>
      <c r="S154" s="84">
        <v>12.991999999999997</v>
      </c>
      <c r="T154" s="84">
        <v>1.5119999999999998</v>
      </c>
    </row>
    <row r="155" spans="1:20" s="6" customFormat="1" ht="15.75" customHeight="1">
      <c r="A155" s="81">
        <v>139</v>
      </c>
      <c r="B155" s="137" t="s">
        <v>88</v>
      </c>
      <c r="C155" s="137"/>
      <c r="D155" s="83">
        <v>200</v>
      </c>
      <c r="E155" s="22">
        <v>6.77</v>
      </c>
      <c r="F155" s="22">
        <v>3.69</v>
      </c>
      <c r="G155" s="22">
        <v>6.45</v>
      </c>
      <c r="H155" s="22">
        <v>14.37</v>
      </c>
      <c r="I155" s="22">
        <v>130.35</v>
      </c>
      <c r="J155" s="22">
        <v>0.86</v>
      </c>
      <c r="K155" s="22">
        <v>0.18</v>
      </c>
      <c r="L155" s="22">
        <v>0.16</v>
      </c>
      <c r="M155" s="22">
        <v>0.0333333</v>
      </c>
      <c r="N155" s="22">
        <v>0.01</v>
      </c>
      <c r="O155" s="22">
        <v>97.4</v>
      </c>
      <c r="P155" s="22">
        <v>72</v>
      </c>
      <c r="Q155" s="22">
        <v>3.5</v>
      </c>
      <c r="R155" s="22">
        <v>0.017</v>
      </c>
      <c r="S155" s="22">
        <v>37</v>
      </c>
      <c r="T155" s="22">
        <v>1.45</v>
      </c>
    </row>
    <row r="156" spans="1:20" s="6" customFormat="1" ht="24.75" customHeight="1">
      <c r="A156" s="17">
        <v>345</v>
      </c>
      <c r="B156" s="127" t="s">
        <v>64</v>
      </c>
      <c r="C156" s="127"/>
      <c r="D156" s="24">
        <v>200</v>
      </c>
      <c r="E156" s="23">
        <v>5.1</v>
      </c>
      <c r="F156" s="28">
        <v>0.06</v>
      </c>
      <c r="G156" s="28">
        <v>0.02</v>
      </c>
      <c r="H156" s="28">
        <v>20.73</v>
      </c>
      <c r="I156" s="28">
        <v>83.34</v>
      </c>
      <c r="J156" s="28">
        <v>0</v>
      </c>
      <c r="K156" s="28">
        <v>0</v>
      </c>
      <c r="L156" s="28">
        <v>2.5</v>
      </c>
      <c r="M156" s="28">
        <v>0.004</v>
      </c>
      <c r="N156" s="28">
        <v>0.2</v>
      </c>
      <c r="O156" s="28">
        <v>4</v>
      </c>
      <c r="P156" s="28">
        <v>3.3</v>
      </c>
      <c r="Q156" s="28">
        <v>0.08</v>
      </c>
      <c r="R156" s="28">
        <v>0.001</v>
      </c>
      <c r="S156" s="28">
        <v>1.7</v>
      </c>
      <c r="T156" s="28">
        <v>0.15</v>
      </c>
    </row>
    <row r="157" spans="1:20" s="6" customFormat="1" ht="11.25" customHeight="1">
      <c r="A157" s="51" t="s">
        <v>30</v>
      </c>
      <c r="B157" s="127" t="s">
        <v>43</v>
      </c>
      <c r="C157" s="127"/>
      <c r="D157" s="24">
        <v>50</v>
      </c>
      <c r="E157" s="23">
        <v>2.35</v>
      </c>
      <c r="F157" s="23">
        <f>2.64*D157/40</f>
        <v>3.3</v>
      </c>
      <c r="G157" s="23">
        <f>0.48*D157/40</f>
        <v>0.6</v>
      </c>
      <c r="H157" s="23">
        <f>13.68*D157/40</f>
        <v>17.1</v>
      </c>
      <c r="I157" s="23">
        <f>F157*4+G157*9+H157*4</f>
        <v>87</v>
      </c>
      <c r="J157" s="23">
        <f>0.08*D157/40</f>
        <v>0.1</v>
      </c>
      <c r="K157" s="23">
        <f>0.04*D157/40</f>
        <v>0.05</v>
      </c>
      <c r="L157" s="23">
        <v>0</v>
      </c>
      <c r="M157" s="23">
        <v>0</v>
      </c>
      <c r="N157" s="23">
        <f>2.4*D157/40</f>
        <v>3</v>
      </c>
      <c r="O157" s="23">
        <f>14*D157/40</f>
        <v>17.5</v>
      </c>
      <c r="P157" s="23">
        <f>63.2*D157/40</f>
        <v>79</v>
      </c>
      <c r="Q157" s="23">
        <f>1.2*D157/40</f>
        <v>1.5</v>
      </c>
      <c r="R157" s="23">
        <f>0.001*D157/40</f>
        <v>0.00125</v>
      </c>
      <c r="S157" s="23">
        <f>9.4*D157/40</f>
        <v>11.75</v>
      </c>
      <c r="T157" s="23">
        <f>0.78*D157/40</f>
        <v>0.975</v>
      </c>
    </row>
    <row r="158" spans="1:20" s="6" customFormat="1" ht="11.25" customHeight="1">
      <c r="A158" s="66" t="s">
        <v>30</v>
      </c>
      <c r="B158" s="127" t="s">
        <v>33</v>
      </c>
      <c r="C158" s="127"/>
      <c r="D158" s="24">
        <v>150</v>
      </c>
      <c r="E158" s="23">
        <v>26.11</v>
      </c>
      <c r="F158" s="30">
        <v>0.65</v>
      </c>
      <c r="G158" s="30">
        <v>3.8</v>
      </c>
      <c r="H158" s="30">
        <v>17.6</v>
      </c>
      <c r="I158" s="30">
        <v>38</v>
      </c>
      <c r="J158" s="30">
        <v>0.026</v>
      </c>
      <c r="K158" s="30">
        <v>0.03</v>
      </c>
      <c r="L158" s="30">
        <v>0.13</v>
      </c>
      <c r="M158" s="30">
        <v>11.96</v>
      </c>
      <c r="N158" s="30">
        <v>0.39</v>
      </c>
      <c r="O158" s="30">
        <v>24.18</v>
      </c>
      <c r="P158" s="30">
        <v>49.4</v>
      </c>
      <c r="Q158" s="30">
        <v>0.2</v>
      </c>
      <c r="R158" s="30">
        <v>0.002</v>
      </c>
      <c r="S158" s="30">
        <v>18.72</v>
      </c>
      <c r="T158" s="30">
        <v>0.182</v>
      </c>
    </row>
    <row r="159" spans="1:20" s="6" customFormat="1" ht="11.25" customHeight="1">
      <c r="A159" s="54" t="s">
        <v>45</v>
      </c>
      <c r="B159" s="55"/>
      <c r="C159" s="55"/>
      <c r="D159" s="34">
        <f>SUM(D152:D158)</f>
        <v>990</v>
      </c>
      <c r="E159" s="35">
        <f>SUM(E152:E158)</f>
        <v>90</v>
      </c>
      <c r="F159" s="36">
        <f>SUM(F152:F158)</f>
        <v>35.251999999999995</v>
      </c>
      <c r="G159" s="36">
        <f aca="true" t="shared" si="34" ref="G159:T159">SUM(G152:G158)</f>
        <v>33.96</v>
      </c>
      <c r="H159" s="36">
        <f t="shared" si="34"/>
        <v>116.15799999999999</v>
      </c>
      <c r="I159" s="36">
        <f t="shared" si="34"/>
        <v>969.1</v>
      </c>
      <c r="J159" s="36">
        <f t="shared" si="34"/>
        <v>1.278</v>
      </c>
      <c r="K159" s="36">
        <f t="shared" si="34"/>
        <v>0.494</v>
      </c>
      <c r="L159" s="36">
        <f t="shared" si="34"/>
        <v>9.092</v>
      </c>
      <c r="M159" s="36">
        <f t="shared" si="34"/>
        <v>12.0281333</v>
      </c>
      <c r="N159" s="36">
        <f t="shared" si="34"/>
        <v>3.8262</v>
      </c>
      <c r="O159" s="36">
        <f t="shared" si="34"/>
        <v>223.574</v>
      </c>
      <c r="P159" s="36">
        <f t="shared" si="34"/>
        <v>465.524</v>
      </c>
      <c r="Q159" s="36">
        <f t="shared" si="34"/>
        <v>8.526</v>
      </c>
      <c r="R159" s="36">
        <f t="shared" si="34"/>
        <v>0.11325</v>
      </c>
      <c r="S159" s="36">
        <f t="shared" si="34"/>
        <v>119.63199999999999</v>
      </c>
      <c r="T159" s="36">
        <f t="shared" si="34"/>
        <v>6.8790000000000004</v>
      </c>
    </row>
    <row r="160" spans="1:20" s="6" customFormat="1" ht="11.25" customHeight="1">
      <c r="A160" s="148" t="s">
        <v>35</v>
      </c>
      <c r="B160" s="148"/>
      <c r="C160" s="148"/>
      <c r="D160" s="148"/>
      <c r="E160" s="69"/>
      <c r="F160" s="80">
        <f aca="true" t="shared" si="35" ref="F160:T160">F159/F167</f>
        <v>0.39168888888888886</v>
      </c>
      <c r="G160" s="58">
        <f t="shared" si="35"/>
        <v>0.3691304347826087</v>
      </c>
      <c r="H160" s="58">
        <f t="shared" si="35"/>
        <v>0.3032845953002611</v>
      </c>
      <c r="I160" s="58">
        <f t="shared" si="35"/>
        <v>0.3562867647058824</v>
      </c>
      <c r="J160" s="58">
        <f t="shared" si="35"/>
        <v>0.9128571428571429</v>
      </c>
      <c r="K160" s="58">
        <f t="shared" si="35"/>
        <v>0.30874999999999997</v>
      </c>
      <c r="L160" s="58">
        <f t="shared" si="35"/>
        <v>0.1298857142857143</v>
      </c>
      <c r="M160" s="58">
        <f t="shared" si="35"/>
        <v>13.364592555555555</v>
      </c>
      <c r="N160" s="58">
        <f t="shared" si="35"/>
        <v>0.31885</v>
      </c>
      <c r="O160" s="58">
        <f t="shared" si="35"/>
        <v>0.18631166666666668</v>
      </c>
      <c r="P160" s="58">
        <f t="shared" si="35"/>
        <v>0.38793666666666665</v>
      </c>
      <c r="Q160" s="58">
        <f t="shared" si="35"/>
        <v>0.609</v>
      </c>
      <c r="R160" s="58">
        <f t="shared" si="35"/>
        <v>1.1325</v>
      </c>
      <c r="S160" s="58">
        <f t="shared" si="35"/>
        <v>0.3987733333333333</v>
      </c>
      <c r="T160" s="59">
        <f t="shared" si="35"/>
        <v>0.3821666666666667</v>
      </c>
    </row>
    <row r="161" spans="1:20" s="6" customFormat="1" ht="11.25" customHeight="1">
      <c r="A161" s="143" t="s">
        <v>46</v>
      </c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</row>
    <row r="162" spans="1:20" s="6" customFormat="1" ht="12" customHeight="1">
      <c r="A162" s="17">
        <v>403</v>
      </c>
      <c r="B162" s="127" t="s">
        <v>89</v>
      </c>
      <c r="C162" s="127"/>
      <c r="D162" s="24">
        <v>120</v>
      </c>
      <c r="E162" s="23">
        <v>11.72</v>
      </c>
      <c r="F162" s="23">
        <f>10.7*D162/165</f>
        <v>7.781818181818182</v>
      </c>
      <c r="G162" s="23">
        <f>11.23*D162/165</f>
        <v>8.167272727272728</v>
      </c>
      <c r="H162" s="23">
        <f>68.44*D162/165</f>
        <v>49.77454545454545</v>
      </c>
      <c r="I162" s="23">
        <f>F162*4+G162*9+H162*4</f>
        <v>303.7309090909091</v>
      </c>
      <c r="J162" s="23">
        <v>0.138</v>
      </c>
      <c r="K162" s="23">
        <v>0.15</v>
      </c>
      <c r="L162" s="23">
        <f>1.61*D162/165</f>
        <v>1.1709090909090911</v>
      </c>
      <c r="M162" s="23">
        <v>0.075</v>
      </c>
      <c r="N162" s="23">
        <v>1.5</v>
      </c>
      <c r="O162" s="23">
        <f>119*D162/165</f>
        <v>86.54545454545455</v>
      </c>
      <c r="P162" s="23">
        <v>87.25</v>
      </c>
      <c r="Q162" s="23">
        <v>2.125</v>
      </c>
      <c r="R162" s="23">
        <v>0.013</v>
      </c>
      <c r="S162" s="23">
        <f>47.7*D162/165</f>
        <v>34.69090909090909</v>
      </c>
      <c r="T162" s="23">
        <f>2.3*D162/165</f>
        <v>1.6727272727272726</v>
      </c>
    </row>
    <row r="163" spans="1:20" s="6" customFormat="1" ht="12" customHeight="1">
      <c r="A163" s="26" t="s">
        <v>30</v>
      </c>
      <c r="B163" s="140" t="s">
        <v>90</v>
      </c>
      <c r="C163" s="140"/>
      <c r="D163" s="27" t="s">
        <v>32</v>
      </c>
      <c r="E163" s="28">
        <v>18.28</v>
      </c>
      <c r="F163" s="28">
        <v>1</v>
      </c>
      <c r="G163" s="28">
        <v>0.2</v>
      </c>
      <c r="H163" s="28">
        <v>20.2</v>
      </c>
      <c r="I163" s="28">
        <v>86.6</v>
      </c>
      <c r="J163" s="28">
        <v>0.02</v>
      </c>
      <c r="K163" s="28">
        <v>0.02</v>
      </c>
      <c r="L163" s="28">
        <v>4.8</v>
      </c>
      <c r="M163" s="28">
        <v>0</v>
      </c>
      <c r="N163" s="28">
        <v>0</v>
      </c>
      <c r="O163" s="28">
        <v>14</v>
      </c>
      <c r="P163" s="28">
        <v>18</v>
      </c>
      <c r="Q163" s="28">
        <v>0.03</v>
      </c>
      <c r="R163" s="28">
        <v>0</v>
      </c>
      <c r="S163" s="28">
        <v>8</v>
      </c>
      <c r="T163" s="28">
        <v>0.72</v>
      </c>
    </row>
    <row r="164" spans="1:20" s="9" customFormat="1" ht="11.25" customHeight="1">
      <c r="A164" s="54" t="s">
        <v>49</v>
      </c>
      <c r="B164" s="55"/>
      <c r="C164" s="55"/>
      <c r="D164" s="34">
        <v>320</v>
      </c>
      <c r="E164" s="35">
        <f>SUM(E162:E163)</f>
        <v>30</v>
      </c>
      <c r="F164" s="36">
        <f>SUM(F162:F163)</f>
        <v>8.781818181818181</v>
      </c>
      <c r="G164" s="36">
        <f aca="true" t="shared" si="36" ref="G164:T164">SUM(G162:G163)</f>
        <v>8.367272727272727</v>
      </c>
      <c r="H164" s="36">
        <f t="shared" si="36"/>
        <v>69.97454545454545</v>
      </c>
      <c r="I164" s="36">
        <f t="shared" si="36"/>
        <v>390.33090909090913</v>
      </c>
      <c r="J164" s="36">
        <f t="shared" si="36"/>
        <v>0.158</v>
      </c>
      <c r="K164" s="36">
        <f t="shared" si="36"/>
        <v>0.16999999999999998</v>
      </c>
      <c r="L164" s="36">
        <f t="shared" si="36"/>
        <v>5.970909090909091</v>
      </c>
      <c r="M164" s="36">
        <f t="shared" si="36"/>
        <v>0.075</v>
      </c>
      <c r="N164" s="36">
        <f t="shared" si="36"/>
        <v>1.5</v>
      </c>
      <c r="O164" s="36">
        <f t="shared" si="36"/>
        <v>100.54545454545455</v>
      </c>
      <c r="P164" s="36">
        <f t="shared" si="36"/>
        <v>105.25</v>
      </c>
      <c r="Q164" s="36">
        <f t="shared" si="36"/>
        <v>2.155</v>
      </c>
      <c r="R164" s="36">
        <f t="shared" si="36"/>
        <v>0.013</v>
      </c>
      <c r="S164" s="36">
        <f t="shared" si="36"/>
        <v>42.69090909090909</v>
      </c>
      <c r="T164" s="36">
        <f t="shared" si="36"/>
        <v>2.3927272727272726</v>
      </c>
    </row>
    <row r="165" spans="1:20" s="9" customFormat="1" ht="11.25" customHeight="1">
      <c r="A165" s="148" t="s">
        <v>35</v>
      </c>
      <c r="B165" s="148"/>
      <c r="C165" s="148"/>
      <c r="D165" s="148"/>
      <c r="E165" s="39"/>
      <c r="F165" s="36">
        <f aca="true" t="shared" si="37" ref="F165:T165">F164/F167</f>
        <v>0.09757575757575757</v>
      </c>
      <c r="G165" s="59">
        <f t="shared" si="37"/>
        <v>0.09094861660079051</v>
      </c>
      <c r="H165" s="59">
        <f t="shared" si="37"/>
        <v>0.1827011630666983</v>
      </c>
      <c r="I165" s="59">
        <f t="shared" si="37"/>
        <v>0.14350401069518717</v>
      </c>
      <c r="J165" s="59">
        <f t="shared" si="37"/>
        <v>0.11285714285714286</v>
      </c>
      <c r="K165" s="59">
        <f t="shared" si="37"/>
        <v>0.10624999999999998</v>
      </c>
      <c r="L165" s="59">
        <f t="shared" si="37"/>
        <v>0.08529870129870129</v>
      </c>
      <c r="M165" s="59">
        <f t="shared" si="37"/>
        <v>0.08333333333333333</v>
      </c>
      <c r="N165" s="59">
        <f t="shared" si="37"/>
        <v>0.125</v>
      </c>
      <c r="O165" s="59">
        <f t="shared" si="37"/>
        <v>0.08378787878787879</v>
      </c>
      <c r="P165" s="59">
        <f t="shared" si="37"/>
        <v>0.08770833333333333</v>
      </c>
      <c r="Q165" s="59">
        <f t="shared" si="37"/>
        <v>0.15392857142857141</v>
      </c>
      <c r="R165" s="59">
        <f t="shared" si="37"/>
        <v>0.12999999999999998</v>
      </c>
      <c r="S165" s="59">
        <f t="shared" si="37"/>
        <v>0.1423030303030303</v>
      </c>
      <c r="T165" s="59">
        <f t="shared" si="37"/>
        <v>0.13292929292929292</v>
      </c>
    </row>
    <row r="166" spans="1:20" s="9" customFormat="1" ht="11.25" customHeight="1">
      <c r="A166" s="138" t="s">
        <v>50</v>
      </c>
      <c r="B166" s="138"/>
      <c r="C166" s="138"/>
      <c r="D166" s="138"/>
      <c r="E166" s="39"/>
      <c r="F166" s="36">
        <f aca="true" t="shared" si="38" ref="F166:T166">SUM(F149,F159,F164)</f>
        <v>72.83381818181817</v>
      </c>
      <c r="G166" s="37">
        <f t="shared" si="38"/>
        <v>77.09727272727272</v>
      </c>
      <c r="H166" s="37">
        <f t="shared" si="38"/>
        <v>260.20254545454543</v>
      </c>
      <c r="I166" s="37">
        <f t="shared" si="38"/>
        <v>2082.6909090909094</v>
      </c>
      <c r="J166" s="36">
        <f t="shared" si="38"/>
        <v>1.8359999999999999</v>
      </c>
      <c r="K166" s="36">
        <f t="shared" si="38"/>
        <v>1.341</v>
      </c>
      <c r="L166" s="37">
        <f t="shared" si="38"/>
        <v>82.11290909090908</v>
      </c>
      <c r="M166" s="36">
        <f t="shared" si="38"/>
        <v>93.2851333</v>
      </c>
      <c r="N166" s="36">
        <f t="shared" si="38"/>
        <v>7.4282</v>
      </c>
      <c r="O166" s="37">
        <f t="shared" si="38"/>
        <v>1204.7694545454544</v>
      </c>
      <c r="P166" s="37">
        <f t="shared" si="38"/>
        <v>1290.854</v>
      </c>
      <c r="Q166" s="36">
        <f t="shared" si="38"/>
        <v>13.697999999999999</v>
      </c>
      <c r="R166" s="38">
        <f t="shared" si="38"/>
        <v>0.24425000000000002</v>
      </c>
      <c r="S166" s="36">
        <f t="shared" si="38"/>
        <v>314.7629090909091</v>
      </c>
      <c r="T166" s="36">
        <f t="shared" si="38"/>
        <v>13.961727272727272</v>
      </c>
    </row>
    <row r="167" spans="1:20" s="9" customFormat="1" ht="11.25" customHeight="1">
      <c r="A167" s="138" t="s">
        <v>51</v>
      </c>
      <c r="B167" s="138"/>
      <c r="C167" s="138"/>
      <c r="D167" s="138"/>
      <c r="E167" s="39"/>
      <c r="F167" s="23">
        <v>90</v>
      </c>
      <c r="G167" s="53">
        <v>92</v>
      </c>
      <c r="H167" s="53">
        <v>383</v>
      </c>
      <c r="I167" s="53">
        <v>2720</v>
      </c>
      <c r="J167" s="23">
        <v>1.4</v>
      </c>
      <c r="K167" s="23">
        <v>1.6</v>
      </c>
      <c r="L167" s="24">
        <v>70</v>
      </c>
      <c r="M167" s="23">
        <v>0.9</v>
      </c>
      <c r="N167" s="24">
        <v>12</v>
      </c>
      <c r="O167" s="24">
        <v>1200</v>
      </c>
      <c r="P167" s="24">
        <v>1200</v>
      </c>
      <c r="Q167" s="24">
        <v>14</v>
      </c>
      <c r="R167" s="53">
        <v>0.1</v>
      </c>
      <c r="S167" s="24">
        <v>300</v>
      </c>
      <c r="T167" s="23">
        <v>18</v>
      </c>
    </row>
    <row r="168" spans="1:20" s="9" customFormat="1" ht="11.25" customHeight="1">
      <c r="A168" s="148" t="s">
        <v>35</v>
      </c>
      <c r="B168" s="148"/>
      <c r="C168" s="148"/>
      <c r="D168" s="148"/>
      <c r="E168" s="39"/>
      <c r="F168" s="58">
        <f aca="true" t="shared" si="39" ref="F168:T168">F166/F167</f>
        <v>0.8092646464646464</v>
      </c>
      <c r="G168" s="59">
        <f t="shared" si="39"/>
        <v>0.8380138339920948</v>
      </c>
      <c r="H168" s="59">
        <f t="shared" si="39"/>
        <v>0.679380014241633</v>
      </c>
      <c r="I168" s="59">
        <f t="shared" si="39"/>
        <v>0.7656951871657756</v>
      </c>
      <c r="J168" s="59">
        <f t="shared" si="39"/>
        <v>1.3114285714285714</v>
      </c>
      <c r="K168" s="59">
        <f t="shared" si="39"/>
        <v>0.8381249999999999</v>
      </c>
      <c r="L168" s="59">
        <f t="shared" si="39"/>
        <v>1.1730415584415583</v>
      </c>
      <c r="M168" s="60">
        <f t="shared" si="39"/>
        <v>103.65014811111111</v>
      </c>
      <c r="N168" s="59">
        <f t="shared" si="39"/>
        <v>0.6190166666666667</v>
      </c>
      <c r="O168" s="59">
        <f t="shared" si="39"/>
        <v>1.0039745454545455</v>
      </c>
      <c r="P168" s="59">
        <f t="shared" si="39"/>
        <v>1.0757116666666666</v>
      </c>
      <c r="Q168" s="59">
        <f t="shared" si="39"/>
        <v>0.9784285714285713</v>
      </c>
      <c r="R168" s="60">
        <f t="shared" si="39"/>
        <v>2.4425</v>
      </c>
      <c r="S168" s="59">
        <f t="shared" si="39"/>
        <v>1.049209696969697</v>
      </c>
      <c r="T168" s="60">
        <f t="shared" si="39"/>
        <v>0.7756515151515151</v>
      </c>
    </row>
    <row r="169" spans="1:20" s="9" customFormat="1" ht="11.25" customHeight="1">
      <c r="A169" s="4"/>
      <c r="B169" s="5"/>
      <c r="C169" s="5"/>
      <c r="D169" s="6"/>
      <c r="E169" s="7"/>
      <c r="F169" s="7"/>
      <c r="G169" s="6"/>
      <c r="H169" s="6"/>
      <c r="I169" s="6"/>
      <c r="J169" s="6"/>
      <c r="K169" s="6"/>
      <c r="L169" s="6"/>
      <c r="M169" s="128" t="s">
        <v>0</v>
      </c>
      <c r="N169" s="128"/>
      <c r="O169" s="128"/>
      <c r="P169" s="128"/>
      <c r="Q169" s="128"/>
      <c r="R169" s="128"/>
      <c r="S169" s="128"/>
      <c r="T169" s="128"/>
    </row>
    <row r="170" spans="1:20" s="6" customFormat="1" ht="11.25" customHeight="1">
      <c r="A170" s="147" t="s">
        <v>92</v>
      </c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</row>
    <row r="171" spans="1:17" s="6" customFormat="1" ht="11.25" customHeight="1">
      <c r="A171" s="10" t="s">
        <v>2</v>
      </c>
      <c r="B171" s="5"/>
      <c r="C171" s="5"/>
      <c r="D171" s="8"/>
      <c r="E171" s="11"/>
      <c r="F171" s="7"/>
      <c r="G171" s="130" t="s">
        <v>3</v>
      </c>
      <c r="H171" s="130"/>
      <c r="I171" s="130"/>
      <c r="L171" s="131"/>
      <c r="M171" s="131"/>
      <c r="N171" s="132"/>
      <c r="O171" s="132"/>
      <c r="P171" s="132"/>
      <c r="Q171" s="132"/>
    </row>
    <row r="172" spans="1:20" s="6" customFormat="1" ht="11.25" customHeight="1">
      <c r="A172" s="5"/>
      <c r="B172" s="5"/>
      <c r="C172" s="5"/>
      <c r="D172" s="149" t="s">
        <v>4</v>
      </c>
      <c r="E172" s="149"/>
      <c r="F172" s="149"/>
      <c r="G172" s="12">
        <v>2</v>
      </c>
      <c r="I172" s="8"/>
      <c r="J172" s="8"/>
      <c r="K172" s="8"/>
      <c r="L172" s="149"/>
      <c r="M172" s="149"/>
      <c r="N172" s="130"/>
      <c r="O172" s="130"/>
      <c r="P172" s="130"/>
      <c r="Q172" s="130"/>
      <c r="R172" s="130"/>
      <c r="S172" s="130"/>
      <c r="T172" s="130"/>
    </row>
    <row r="173" spans="1:20" s="6" customFormat="1" ht="21.75" customHeight="1">
      <c r="A173" s="133" t="s">
        <v>54</v>
      </c>
      <c r="B173" s="133" t="s">
        <v>55</v>
      </c>
      <c r="C173" s="133"/>
      <c r="D173" s="133" t="s">
        <v>7</v>
      </c>
      <c r="E173" s="75"/>
      <c r="F173" s="133" t="s">
        <v>8</v>
      </c>
      <c r="G173" s="133"/>
      <c r="H173" s="133"/>
      <c r="I173" s="133" t="s">
        <v>9</v>
      </c>
      <c r="J173" s="133" t="s">
        <v>10</v>
      </c>
      <c r="K173" s="133"/>
      <c r="L173" s="133"/>
      <c r="M173" s="133"/>
      <c r="N173" s="133"/>
      <c r="O173" s="133" t="s">
        <v>11</v>
      </c>
      <c r="P173" s="133"/>
      <c r="Q173" s="133"/>
      <c r="R173" s="133"/>
      <c r="S173" s="133"/>
      <c r="T173" s="133"/>
    </row>
    <row r="174" spans="1:20" s="6" customFormat="1" ht="21" customHeight="1">
      <c r="A174" s="133"/>
      <c r="B174" s="133"/>
      <c r="C174" s="133"/>
      <c r="D174" s="133"/>
      <c r="E174" s="15"/>
      <c r="F174" s="16" t="s">
        <v>12</v>
      </c>
      <c r="G174" s="13" t="s">
        <v>13</v>
      </c>
      <c r="H174" s="13" t="s">
        <v>14</v>
      </c>
      <c r="I174" s="133"/>
      <c r="J174" s="13" t="s">
        <v>15</v>
      </c>
      <c r="K174" s="13" t="s">
        <v>16</v>
      </c>
      <c r="L174" s="13" t="s">
        <v>17</v>
      </c>
      <c r="M174" s="13" t="s">
        <v>18</v>
      </c>
      <c r="N174" s="13" t="s">
        <v>19</v>
      </c>
      <c r="O174" s="13" t="s">
        <v>20</v>
      </c>
      <c r="P174" s="13" t="s">
        <v>21</v>
      </c>
      <c r="Q174" s="13" t="s">
        <v>22</v>
      </c>
      <c r="R174" s="13" t="s">
        <v>23</v>
      </c>
      <c r="S174" s="13" t="s">
        <v>24</v>
      </c>
      <c r="T174" s="13" t="s">
        <v>25</v>
      </c>
    </row>
    <row r="175" spans="1:20" s="6" customFormat="1" ht="11.25" customHeight="1">
      <c r="A175" s="17">
        <v>1</v>
      </c>
      <c r="B175" s="142">
        <v>2</v>
      </c>
      <c r="C175" s="142"/>
      <c r="D175" s="18">
        <v>3</v>
      </c>
      <c r="E175" s="19"/>
      <c r="F175" s="19">
        <v>4</v>
      </c>
      <c r="G175" s="18">
        <v>5</v>
      </c>
      <c r="H175" s="18">
        <v>6</v>
      </c>
      <c r="I175" s="18">
        <v>7</v>
      </c>
      <c r="J175" s="18">
        <v>8</v>
      </c>
      <c r="K175" s="18">
        <v>9</v>
      </c>
      <c r="L175" s="18">
        <v>10</v>
      </c>
      <c r="M175" s="18">
        <v>11</v>
      </c>
      <c r="N175" s="18">
        <v>12</v>
      </c>
      <c r="O175" s="18">
        <v>13</v>
      </c>
      <c r="P175" s="18">
        <v>14</v>
      </c>
      <c r="Q175" s="18">
        <v>15</v>
      </c>
      <c r="R175" s="18">
        <v>16</v>
      </c>
      <c r="S175" s="18">
        <v>17</v>
      </c>
      <c r="T175" s="18">
        <v>18</v>
      </c>
    </row>
    <row r="176" spans="1:20" s="6" customFormat="1" ht="11.25" customHeight="1">
      <c r="A176" s="143" t="s">
        <v>26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s="6" customFormat="1" ht="11.25" customHeight="1">
      <c r="A177" s="20">
        <v>15</v>
      </c>
      <c r="B177" s="160" t="s">
        <v>27</v>
      </c>
      <c r="C177" s="161"/>
      <c r="D177" s="21" t="s">
        <v>28</v>
      </c>
      <c r="E177" s="22">
        <v>11.25</v>
      </c>
      <c r="F177" s="23">
        <v>0.46</v>
      </c>
      <c r="G177" s="23">
        <v>0.68</v>
      </c>
      <c r="H177" s="23">
        <v>0</v>
      </c>
      <c r="I177" s="23">
        <v>7.98</v>
      </c>
      <c r="J177" s="23">
        <v>0</v>
      </c>
      <c r="K177" s="23">
        <v>0.01</v>
      </c>
      <c r="L177" s="23">
        <v>0.01</v>
      </c>
      <c r="M177" s="23">
        <v>0.005</v>
      </c>
      <c r="N177" s="23">
        <v>0.01</v>
      </c>
      <c r="O177" s="23">
        <v>17.6</v>
      </c>
      <c r="P177" s="23">
        <v>10</v>
      </c>
      <c r="Q177" s="23">
        <v>0.08</v>
      </c>
      <c r="R177" s="23">
        <v>0.004</v>
      </c>
      <c r="S177" s="23">
        <v>0.7</v>
      </c>
      <c r="T177" s="23">
        <v>0.03</v>
      </c>
    </row>
    <row r="178" spans="1:20" s="6" customFormat="1" ht="21.75" customHeight="1">
      <c r="A178" s="124" t="s">
        <v>30</v>
      </c>
      <c r="B178" s="135" t="s">
        <v>117</v>
      </c>
      <c r="C178" s="136"/>
      <c r="D178" s="120">
        <v>120</v>
      </c>
      <c r="E178" s="121">
        <v>30</v>
      </c>
      <c r="F178" s="121">
        <v>6.87</v>
      </c>
      <c r="G178" s="121">
        <v>8.1</v>
      </c>
      <c r="H178" s="121">
        <v>35.43</v>
      </c>
      <c r="I178" s="121">
        <v>241.99</v>
      </c>
      <c r="J178" s="121">
        <v>0.059</v>
      </c>
      <c r="K178" s="121">
        <v>0.244</v>
      </c>
      <c r="L178" s="121">
        <v>0.24</v>
      </c>
      <c r="M178" s="121">
        <v>12.8</v>
      </c>
      <c r="N178" s="121">
        <v>0.54</v>
      </c>
      <c r="O178" s="121">
        <v>30.42</v>
      </c>
      <c r="P178" s="121">
        <v>98.6</v>
      </c>
      <c r="Q178" s="121">
        <v>0.69</v>
      </c>
      <c r="R178" s="121">
        <v>0</v>
      </c>
      <c r="S178" s="121">
        <v>23.5</v>
      </c>
      <c r="T178" s="121">
        <v>0.78</v>
      </c>
    </row>
    <row r="179" spans="1:20" s="6" customFormat="1" ht="17.25" customHeight="1">
      <c r="A179" s="29" t="s">
        <v>30</v>
      </c>
      <c r="B179" s="127" t="s">
        <v>71</v>
      </c>
      <c r="C179" s="127"/>
      <c r="D179" s="24">
        <v>20</v>
      </c>
      <c r="E179" s="23">
        <v>6.6</v>
      </c>
      <c r="F179" s="23">
        <v>1.4</v>
      </c>
      <c r="G179" s="23">
        <v>1.7</v>
      </c>
      <c r="H179" s="23">
        <v>11.1</v>
      </c>
      <c r="I179" s="23">
        <v>65.6</v>
      </c>
      <c r="J179" s="23">
        <v>0.05</v>
      </c>
      <c r="K179" s="23">
        <v>0.04</v>
      </c>
      <c r="L179" s="23">
        <v>0.1</v>
      </c>
      <c r="M179" s="23">
        <v>0.005</v>
      </c>
      <c r="N179" s="23">
        <v>0.02</v>
      </c>
      <c r="O179" s="23">
        <v>30.7</v>
      </c>
      <c r="P179" s="23">
        <v>21.9</v>
      </c>
      <c r="Q179" s="23">
        <v>0.1</v>
      </c>
      <c r="R179" s="23">
        <v>0.001</v>
      </c>
      <c r="S179" s="23">
        <v>3.4</v>
      </c>
      <c r="T179" s="23">
        <v>0.02</v>
      </c>
    </row>
    <row r="180" spans="1:20" s="6" customFormat="1" ht="11.25" customHeight="1">
      <c r="A180" s="94" t="s">
        <v>30</v>
      </c>
      <c r="B180" s="153" t="s">
        <v>33</v>
      </c>
      <c r="C180" s="141"/>
      <c r="D180" s="24">
        <v>20</v>
      </c>
      <c r="E180" s="23">
        <v>16.14</v>
      </c>
      <c r="F180" s="30">
        <v>0.65</v>
      </c>
      <c r="G180" s="30">
        <v>3.8</v>
      </c>
      <c r="H180" s="30">
        <v>17.6</v>
      </c>
      <c r="I180" s="30">
        <v>38</v>
      </c>
      <c r="J180" s="30">
        <v>0.026</v>
      </c>
      <c r="K180" s="30">
        <v>0.03</v>
      </c>
      <c r="L180" s="30">
        <v>0.13</v>
      </c>
      <c r="M180" s="30">
        <v>11.96</v>
      </c>
      <c r="N180" s="30">
        <v>0.39</v>
      </c>
      <c r="O180" s="30">
        <v>24.18</v>
      </c>
      <c r="P180" s="30">
        <v>49.4</v>
      </c>
      <c r="Q180" s="30">
        <v>0.2</v>
      </c>
      <c r="R180" s="30">
        <v>0.002</v>
      </c>
      <c r="S180" s="30">
        <v>18.72</v>
      </c>
      <c r="T180" s="30">
        <v>0.182</v>
      </c>
    </row>
    <row r="181" spans="1:20" s="6" customFormat="1" ht="13.5" customHeight="1">
      <c r="A181" s="31">
        <v>377</v>
      </c>
      <c r="B181" s="158" t="s">
        <v>48</v>
      </c>
      <c r="C181" s="159"/>
      <c r="D181" s="50">
        <v>200</v>
      </c>
      <c r="E181" s="28">
        <v>3.3</v>
      </c>
      <c r="F181" s="109">
        <v>0.26</v>
      </c>
      <c r="G181" s="109">
        <v>0.06</v>
      </c>
      <c r="H181" s="109">
        <v>15.22</v>
      </c>
      <c r="I181" s="109">
        <v>62.46</v>
      </c>
      <c r="J181" s="109">
        <v>0</v>
      </c>
      <c r="K181" s="109">
        <v>0.01</v>
      </c>
      <c r="L181" s="109">
        <v>2.9</v>
      </c>
      <c r="M181" s="109">
        <v>0</v>
      </c>
      <c r="N181" s="109">
        <v>0.06</v>
      </c>
      <c r="O181" s="109">
        <v>8.05</v>
      </c>
      <c r="P181" s="109">
        <v>9.78</v>
      </c>
      <c r="Q181" s="109">
        <v>0.017</v>
      </c>
      <c r="R181" s="109">
        <v>0</v>
      </c>
      <c r="S181" s="109">
        <v>5.24</v>
      </c>
      <c r="T181" s="109">
        <v>0.87</v>
      </c>
    </row>
    <row r="182" spans="1:20" s="9" customFormat="1" ht="11.25" customHeight="1">
      <c r="A182" s="54" t="s">
        <v>34</v>
      </c>
      <c r="B182" s="55"/>
      <c r="C182" s="55"/>
      <c r="D182" s="34">
        <v>385</v>
      </c>
      <c r="E182" s="35">
        <f>SUM(E177:E181)</f>
        <v>67.29</v>
      </c>
      <c r="F182" s="36">
        <f>SUM(F177:F181)</f>
        <v>9.64</v>
      </c>
      <c r="G182" s="36">
        <f aca="true" t="shared" si="40" ref="G182:T182">SUM(G177:G181)</f>
        <v>14.339999999999998</v>
      </c>
      <c r="H182" s="36">
        <f t="shared" si="40"/>
        <v>79.35</v>
      </c>
      <c r="I182" s="36">
        <f t="shared" si="40"/>
        <v>416.03</v>
      </c>
      <c r="J182" s="36">
        <f t="shared" si="40"/>
        <v>0.135</v>
      </c>
      <c r="K182" s="36">
        <f t="shared" si="40"/>
        <v>0.33399999999999996</v>
      </c>
      <c r="L182" s="36">
        <f t="shared" si="40"/>
        <v>3.38</v>
      </c>
      <c r="M182" s="36">
        <f t="shared" si="40"/>
        <v>24.770000000000003</v>
      </c>
      <c r="N182" s="36">
        <f t="shared" si="40"/>
        <v>1.02</v>
      </c>
      <c r="O182" s="36">
        <f t="shared" si="40"/>
        <v>110.95</v>
      </c>
      <c r="P182" s="36">
        <f t="shared" si="40"/>
        <v>189.68</v>
      </c>
      <c r="Q182" s="36">
        <f t="shared" si="40"/>
        <v>1.0869999999999997</v>
      </c>
      <c r="R182" s="36">
        <f t="shared" si="40"/>
        <v>0.007</v>
      </c>
      <c r="S182" s="36">
        <f t="shared" si="40"/>
        <v>51.559999999999995</v>
      </c>
      <c r="T182" s="36">
        <f t="shared" si="40"/>
        <v>1.8820000000000001</v>
      </c>
    </row>
    <row r="183" spans="1:20" s="9" customFormat="1" ht="11.25" customHeight="1">
      <c r="A183" s="148" t="s">
        <v>35</v>
      </c>
      <c r="B183" s="148"/>
      <c r="C183" s="148"/>
      <c r="D183" s="148"/>
      <c r="E183" s="69"/>
      <c r="F183" s="80">
        <f aca="true" t="shared" si="41" ref="F183:T183">F182/F200</f>
        <v>0.10711111111111112</v>
      </c>
      <c r="G183" s="59">
        <f t="shared" si="41"/>
        <v>0.1558695652173913</v>
      </c>
      <c r="H183" s="59">
        <f t="shared" si="41"/>
        <v>0.20718015665796344</v>
      </c>
      <c r="I183" s="59">
        <f t="shared" si="41"/>
        <v>0.15295220588235292</v>
      </c>
      <c r="J183" s="59">
        <f t="shared" si="41"/>
        <v>0.09642857142857145</v>
      </c>
      <c r="K183" s="59">
        <f t="shared" si="41"/>
        <v>0.20874999999999996</v>
      </c>
      <c r="L183" s="59">
        <f t="shared" si="41"/>
        <v>0.048285714285714286</v>
      </c>
      <c r="M183" s="59">
        <f t="shared" si="41"/>
        <v>27.522222222222226</v>
      </c>
      <c r="N183" s="59">
        <f t="shared" si="41"/>
        <v>0.085</v>
      </c>
      <c r="O183" s="59">
        <f t="shared" si="41"/>
        <v>0.09245833333333334</v>
      </c>
      <c r="P183" s="59">
        <f t="shared" si="41"/>
        <v>0.15806666666666666</v>
      </c>
      <c r="Q183" s="59">
        <f t="shared" si="41"/>
        <v>0.07764285714285712</v>
      </c>
      <c r="R183" s="59">
        <f t="shared" si="41"/>
        <v>0.06999999999999999</v>
      </c>
      <c r="S183" s="59">
        <f t="shared" si="41"/>
        <v>0.17186666666666664</v>
      </c>
      <c r="T183" s="59">
        <f t="shared" si="41"/>
        <v>0.10455555555555557</v>
      </c>
    </row>
    <row r="184" spans="1:20" s="9" customFormat="1" ht="11.25" customHeight="1">
      <c r="A184" s="143" t="s">
        <v>36</v>
      </c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s="6" customFormat="1" ht="21.75" customHeight="1">
      <c r="A185" s="17">
        <v>24</v>
      </c>
      <c r="B185" s="152" t="s">
        <v>73</v>
      </c>
      <c r="C185" s="152"/>
      <c r="D185" s="24">
        <v>60</v>
      </c>
      <c r="E185" s="23">
        <v>6.9</v>
      </c>
      <c r="F185" s="28">
        <v>0.59</v>
      </c>
      <c r="G185" s="28">
        <v>3.69</v>
      </c>
      <c r="H185" s="28">
        <v>2.24</v>
      </c>
      <c r="I185" s="28">
        <v>44.52</v>
      </c>
      <c r="J185" s="28">
        <v>0.03</v>
      </c>
      <c r="K185" s="28">
        <v>0.03333333333333333</v>
      </c>
      <c r="L185" s="28">
        <v>10.06</v>
      </c>
      <c r="M185" s="28">
        <v>0</v>
      </c>
      <c r="N185" s="28">
        <v>1.25</v>
      </c>
      <c r="O185" s="28">
        <v>11.21</v>
      </c>
      <c r="P185" s="28">
        <v>20.77</v>
      </c>
      <c r="Q185" s="28">
        <v>0.25</v>
      </c>
      <c r="R185" s="28">
        <v>0.0016666666666666668</v>
      </c>
      <c r="S185" s="28">
        <v>9.76</v>
      </c>
      <c r="T185" s="28">
        <v>0.44</v>
      </c>
    </row>
    <row r="186" spans="1:20" s="6" customFormat="1" ht="12.75" customHeight="1">
      <c r="A186" s="17">
        <v>84</v>
      </c>
      <c r="B186" s="127" t="s">
        <v>95</v>
      </c>
      <c r="C186" s="127"/>
      <c r="D186" s="25">
        <v>250</v>
      </c>
      <c r="E186" s="23">
        <v>14.5</v>
      </c>
      <c r="F186" s="23">
        <f>1.77*D186/200</f>
        <v>2.2125</v>
      </c>
      <c r="G186" s="23">
        <f>2.65*D186/200</f>
        <v>3.3125</v>
      </c>
      <c r="H186" s="23">
        <f>12.74*D186/200</f>
        <v>15.925</v>
      </c>
      <c r="I186" s="23">
        <f>F186*4+G186*9+H186*4</f>
        <v>102.36250000000001</v>
      </c>
      <c r="J186" s="23">
        <f>0.05*D186/200</f>
        <v>0.0625</v>
      </c>
      <c r="K186" s="23">
        <f>0.05*D186/200</f>
        <v>0.0625</v>
      </c>
      <c r="L186" s="23">
        <f>19*D186/200</f>
        <v>23.75</v>
      </c>
      <c r="M186" s="23">
        <f>0.74*D186/200</f>
        <v>0.925</v>
      </c>
      <c r="N186" s="23">
        <f>0.1*D186/200</f>
        <v>0.125</v>
      </c>
      <c r="O186" s="23">
        <f>43.11*D186/200</f>
        <v>53.8875</v>
      </c>
      <c r="P186" s="23">
        <f>48.75*D186/200</f>
        <v>60.9375</v>
      </c>
      <c r="Q186" s="23">
        <f>1.3*D186/200</f>
        <v>1.625</v>
      </c>
      <c r="R186" s="23">
        <f>0.0032*D186/200</f>
        <v>0.004</v>
      </c>
      <c r="S186" s="23">
        <f>22.44*D186/200</f>
        <v>28.05</v>
      </c>
      <c r="T186" s="23">
        <f>0.8*D186/200</f>
        <v>1</v>
      </c>
    </row>
    <row r="187" spans="1:20" s="6" customFormat="1" ht="10.5" customHeight="1">
      <c r="A187" s="177">
        <v>268</v>
      </c>
      <c r="B187" s="127" t="s">
        <v>40</v>
      </c>
      <c r="C187" s="127"/>
      <c r="D187" s="179">
        <v>80</v>
      </c>
      <c r="E187" s="178">
        <v>32.82</v>
      </c>
      <c r="F187" s="180">
        <v>13.460000000000003</v>
      </c>
      <c r="G187" s="182">
        <v>10.86</v>
      </c>
      <c r="H187" s="182">
        <v>5.34</v>
      </c>
      <c r="I187" s="180">
        <v>172.948</v>
      </c>
      <c r="J187" s="180">
        <v>0.07</v>
      </c>
      <c r="K187" s="180">
        <v>0.23000000000000004</v>
      </c>
      <c r="L187" s="180">
        <v>0.75</v>
      </c>
      <c r="M187" s="181">
        <v>0.2</v>
      </c>
      <c r="N187" s="183">
        <v>0.021</v>
      </c>
      <c r="O187" s="180">
        <v>73.74</v>
      </c>
      <c r="P187" s="182">
        <v>184.82</v>
      </c>
      <c r="Q187" s="180">
        <v>2.28</v>
      </c>
      <c r="R187" s="183">
        <v>0.03</v>
      </c>
      <c r="S187" s="180">
        <v>29.860000000000003</v>
      </c>
      <c r="T187" s="180">
        <v>1.9300000000000002</v>
      </c>
    </row>
    <row r="188" spans="1:20" s="6" customFormat="1" ht="24" customHeight="1">
      <c r="A188" s="106">
        <v>304</v>
      </c>
      <c r="B188" s="144" t="s">
        <v>58</v>
      </c>
      <c r="C188" s="144"/>
      <c r="D188" s="108">
        <v>180</v>
      </c>
      <c r="E188" s="107">
        <v>8.24</v>
      </c>
      <c r="F188" s="109">
        <v>4.44</v>
      </c>
      <c r="G188" s="109">
        <v>6.44</v>
      </c>
      <c r="H188" s="109">
        <v>44.016</v>
      </c>
      <c r="I188" s="109">
        <v>251.82</v>
      </c>
      <c r="J188" s="109">
        <v>0.036</v>
      </c>
      <c r="K188" s="109">
        <v>0.024</v>
      </c>
      <c r="L188" s="109">
        <v>0</v>
      </c>
      <c r="M188" s="109">
        <v>0.048</v>
      </c>
      <c r="N188" s="109">
        <v>0</v>
      </c>
      <c r="O188" s="109">
        <v>17.928</v>
      </c>
      <c r="P188" s="109">
        <v>95.256</v>
      </c>
      <c r="Q188" s="109">
        <v>0</v>
      </c>
      <c r="R188" s="109">
        <v>0.001</v>
      </c>
      <c r="S188" s="109">
        <v>33.468</v>
      </c>
      <c r="T188" s="109">
        <v>0.708</v>
      </c>
    </row>
    <row r="189" spans="1:20" s="6" customFormat="1" ht="12" customHeight="1">
      <c r="A189" s="17">
        <v>699</v>
      </c>
      <c r="B189" s="127" t="s">
        <v>76</v>
      </c>
      <c r="C189" s="127"/>
      <c r="D189" s="24">
        <v>200</v>
      </c>
      <c r="E189" s="23">
        <v>4.08</v>
      </c>
      <c r="F189" s="28">
        <v>0.1</v>
      </c>
      <c r="G189" s="28">
        <v>0</v>
      </c>
      <c r="H189" s="28">
        <v>15.7</v>
      </c>
      <c r="I189" s="28">
        <v>63.2</v>
      </c>
      <c r="J189" s="28">
        <v>0.018</v>
      </c>
      <c r="K189" s="28">
        <v>0.012</v>
      </c>
      <c r="L189" s="28">
        <v>8</v>
      </c>
      <c r="M189" s="28">
        <v>0</v>
      </c>
      <c r="N189" s="28">
        <v>0.2</v>
      </c>
      <c r="O189" s="28">
        <v>10.8</v>
      </c>
      <c r="P189" s="28">
        <v>1.7</v>
      </c>
      <c r="Q189" s="28">
        <v>0</v>
      </c>
      <c r="R189" s="28">
        <v>0</v>
      </c>
      <c r="S189" s="28">
        <v>5.8</v>
      </c>
      <c r="T189" s="28">
        <v>1.6</v>
      </c>
    </row>
    <row r="190" spans="1:20" s="6" customFormat="1" ht="11.25" customHeight="1">
      <c r="A190" s="29" t="s">
        <v>30</v>
      </c>
      <c r="B190" s="127" t="s">
        <v>59</v>
      </c>
      <c r="C190" s="127"/>
      <c r="D190" s="24">
        <v>50</v>
      </c>
      <c r="E190" s="23">
        <v>2.35</v>
      </c>
      <c r="F190" s="23">
        <f>1.52*D190/30</f>
        <v>2.533333333333333</v>
      </c>
      <c r="G190" s="23">
        <f>0.16*D190/30</f>
        <v>0.26666666666666666</v>
      </c>
      <c r="H190" s="23">
        <f>9.84*D190/30</f>
        <v>16.4</v>
      </c>
      <c r="I190" s="23">
        <f>F190*4+G190*9+H190*4</f>
        <v>78.13333333333333</v>
      </c>
      <c r="J190" s="23">
        <f>0.02*D190/30</f>
        <v>0.03333333333333333</v>
      </c>
      <c r="K190" s="23">
        <f>0.01*D190/30</f>
        <v>0.016666666666666666</v>
      </c>
      <c r="L190" s="23">
        <f>0.44*D190/30</f>
        <v>0.7333333333333333</v>
      </c>
      <c r="M190" s="23">
        <v>0</v>
      </c>
      <c r="N190" s="23">
        <f>0.7*D190/30</f>
        <v>1.1666666666666667</v>
      </c>
      <c r="O190" s="23">
        <f>4*D190/30</f>
        <v>6.666666666666667</v>
      </c>
      <c r="P190" s="23">
        <f>13*D190/30</f>
        <v>21.666666666666668</v>
      </c>
      <c r="Q190" s="23">
        <f>0.008*D190/30</f>
        <v>0.013333333333333334</v>
      </c>
      <c r="R190" s="23">
        <f>0.001*D190/30</f>
        <v>0.0016666666666666668</v>
      </c>
      <c r="S190" s="23">
        <v>0</v>
      </c>
      <c r="T190" s="23">
        <f>0.22*D190/30</f>
        <v>0.36666666666666664</v>
      </c>
    </row>
    <row r="191" spans="1:20" s="6" customFormat="1" ht="11.25" customHeight="1">
      <c r="A191" s="66" t="s">
        <v>30</v>
      </c>
      <c r="B191" s="141" t="s">
        <v>44</v>
      </c>
      <c r="C191" s="141"/>
      <c r="D191" s="24">
        <v>120</v>
      </c>
      <c r="E191" s="23">
        <v>21.11</v>
      </c>
      <c r="F191" s="28">
        <v>0.9</v>
      </c>
      <c r="G191" s="28">
        <v>0.2</v>
      </c>
      <c r="H191" s="28">
        <v>8.1</v>
      </c>
      <c r="I191" s="28">
        <v>136.6</v>
      </c>
      <c r="J191" s="28">
        <v>0.04</v>
      </c>
      <c r="K191" s="28">
        <v>0.03</v>
      </c>
      <c r="L191" s="28">
        <v>60</v>
      </c>
      <c r="M191" s="28">
        <v>0</v>
      </c>
      <c r="N191" s="28">
        <v>0.2</v>
      </c>
      <c r="O191" s="28">
        <v>34</v>
      </c>
      <c r="P191" s="28">
        <v>23</v>
      </c>
      <c r="Q191" s="28">
        <v>0.2</v>
      </c>
      <c r="R191" s="28">
        <v>0</v>
      </c>
      <c r="S191" s="28">
        <v>15</v>
      </c>
      <c r="T191" s="28">
        <v>0.3</v>
      </c>
    </row>
    <row r="192" spans="1:20" s="6" customFormat="1" ht="11.25" customHeight="1">
      <c r="A192" s="54" t="s">
        <v>45</v>
      </c>
      <c r="B192" s="55"/>
      <c r="C192" s="55"/>
      <c r="D192" s="34">
        <f>SUM(D185:D191)</f>
        <v>940</v>
      </c>
      <c r="E192" s="35">
        <f>SUM(E185:E191)</f>
        <v>90</v>
      </c>
      <c r="F192" s="36">
        <f>SUM(F185:F191)</f>
        <v>24.23583333333334</v>
      </c>
      <c r="G192" s="36">
        <f aca="true" t="shared" si="42" ref="G192:T192">SUM(G185:G191)</f>
        <v>24.769166666666663</v>
      </c>
      <c r="H192" s="36">
        <f t="shared" si="42"/>
        <v>107.721</v>
      </c>
      <c r="I192" s="36">
        <f t="shared" si="42"/>
        <v>849.5838333333334</v>
      </c>
      <c r="J192" s="36">
        <f t="shared" si="42"/>
        <v>0.28983333333333333</v>
      </c>
      <c r="K192" s="36">
        <f t="shared" si="42"/>
        <v>0.4085000000000001</v>
      </c>
      <c r="L192" s="36">
        <f t="shared" si="42"/>
        <v>103.29333333333334</v>
      </c>
      <c r="M192" s="36">
        <f t="shared" si="42"/>
        <v>1.173</v>
      </c>
      <c r="N192" s="36">
        <f t="shared" si="42"/>
        <v>2.962666666666667</v>
      </c>
      <c r="O192" s="36">
        <f t="shared" si="42"/>
        <v>208.23216666666664</v>
      </c>
      <c r="P192" s="36">
        <f t="shared" si="42"/>
        <v>408.1501666666667</v>
      </c>
      <c r="Q192" s="36">
        <f t="shared" si="42"/>
        <v>4.368333333333333</v>
      </c>
      <c r="R192" s="36">
        <f t="shared" si="42"/>
        <v>0.03833333333333333</v>
      </c>
      <c r="S192" s="36">
        <f t="shared" si="42"/>
        <v>121.938</v>
      </c>
      <c r="T192" s="36">
        <f t="shared" si="42"/>
        <v>6.344666666666667</v>
      </c>
    </row>
    <row r="193" spans="1:20" s="6" customFormat="1" ht="11.25" customHeight="1">
      <c r="A193" s="148" t="s">
        <v>35</v>
      </c>
      <c r="B193" s="148"/>
      <c r="C193" s="148"/>
      <c r="D193" s="148"/>
      <c r="E193" s="69"/>
      <c r="F193" s="80">
        <f aca="true" t="shared" si="43" ref="F193:T193">F192/F200</f>
        <v>0.2692870370370371</v>
      </c>
      <c r="G193" s="59">
        <f t="shared" si="43"/>
        <v>0.26923007246376807</v>
      </c>
      <c r="H193" s="59">
        <f t="shared" si="43"/>
        <v>0.2812558746736292</v>
      </c>
      <c r="I193" s="59">
        <f t="shared" si="43"/>
        <v>0.3123469975490196</v>
      </c>
      <c r="J193" s="59">
        <f t="shared" si="43"/>
        <v>0.20702380952380953</v>
      </c>
      <c r="K193" s="59">
        <f t="shared" si="43"/>
        <v>0.25531250000000005</v>
      </c>
      <c r="L193" s="59">
        <f t="shared" si="43"/>
        <v>1.4756190476190476</v>
      </c>
      <c r="M193" s="59">
        <f t="shared" si="43"/>
        <v>1.3033333333333335</v>
      </c>
      <c r="N193" s="59">
        <f t="shared" si="43"/>
        <v>0.2468888888888889</v>
      </c>
      <c r="O193" s="59">
        <f t="shared" si="43"/>
        <v>0.17352680555555552</v>
      </c>
      <c r="P193" s="59">
        <f t="shared" si="43"/>
        <v>0.3401251388888889</v>
      </c>
      <c r="Q193" s="59">
        <f t="shared" si="43"/>
        <v>0.31202380952380954</v>
      </c>
      <c r="R193" s="59">
        <f t="shared" si="43"/>
        <v>0.3833333333333333</v>
      </c>
      <c r="S193" s="59">
        <f t="shared" si="43"/>
        <v>0.40646</v>
      </c>
      <c r="T193" s="59">
        <f t="shared" si="43"/>
        <v>0.3524814814814815</v>
      </c>
    </row>
    <row r="194" spans="1:20" s="6" customFormat="1" ht="11.25" customHeight="1">
      <c r="A194" s="143" t="s">
        <v>46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20" s="6" customFormat="1" ht="11.25" customHeight="1">
      <c r="A195" s="17"/>
      <c r="B195" s="127" t="s">
        <v>98</v>
      </c>
      <c r="C195" s="127"/>
      <c r="D195" s="24">
        <v>75</v>
      </c>
      <c r="E195" s="23">
        <v>16.19</v>
      </c>
      <c r="F195" s="23">
        <v>5.2</v>
      </c>
      <c r="G195" s="23">
        <v>5.82</v>
      </c>
      <c r="H195" s="23">
        <v>37.5</v>
      </c>
      <c r="I195" s="23">
        <f>F195*4+G195*9+H195*4</f>
        <v>223.18</v>
      </c>
      <c r="J195" s="23">
        <v>0.06</v>
      </c>
      <c r="K195" s="23">
        <v>0.02</v>
      </c>
      <c r="L195" s="23">
        <v>0.9</v>
      </c>
      <c r="M195" s="23">
        <v>0.01</v>
      </c>
      <c r="N195" s="23">
        <v>0</v>
      </c>
      <c r="O195" s="23">
        <v>21.42</v>
      </c>
      <c r="P195" s="23">
        <v>113.9</v>
      </c>
      <c r="Q195" s="23">
        <v>1</v>
      </c>
      <c r="R195" s="23">
        <v>0</v>
      </c>
      <c r="S195" s="23">
        <v>21.14</v>
      </c>
      <c r="T195" s="23">
        <v>0.58</v>
      </c>
    </row>
    <row r="196" spans="1:20" s="6" customFormat="1" ht="12" customHeight="1">
      <c r="A196" s="17">
        <v>389</v>
      </c>
      <c r="B196" s="127" t="s">
        <v>66</v>
      </c>
      <c r="C196" s="127"/>
      <c r="D196" s="24">
        <v>200</v>
      </c>
      <c r="E196" s="23">
        <v>13.81</v>
      </c>
      <c r="F196" s="23">
        <v>3.17</v>
      </c>
      <c r="G196" s="23">
        <v>2.68</v>
      </c>
      <c r="H196" s="23">
        <v>15.95</v>
      </c>
      <c r="I196" s="23">
        <f>F196*4+G196*9+H196*4</f>
        <v>100.6</v>
      </c>
      <c r="J196" s="23">
        <v>0.04</v>
      </c>
      <c r="K196" s="23">
        <v>0.15</v>
      </c>
      <c r="L196" s="23">
        <v>1.3</v>
      </c>
      <c r="M196" s="23">
        <v>0.03</v>
      </c>
      <c r="N196" s="23">
        <v>0.06</v>
      </c>
      <c r="O196" s="23">
        <v>120.4</v>
      </c>
      <c r="P196" s="23">
        <v>90</v>
      </c>
      <c r="Q196" s="23">
        <v>1.1</v>
      </c>
      <c r="R196" s="23">
        <v>0.01</v>
      </c>
      <c r="S196" s="23">
        <v>14</v>
      </c>
      <c r="T196" s="23">
        <v>0.12</v>
      </c>
    </row>
    <row r="197" spans="1:20" s="9" customFormat="1" ht="11.25" customHeight="1">
      <c r="A197" s="54" t="s">
        <v>49</v>
      </c>
      <c r="B197" s="55"/>
      <c r="C197" s="55"/>
      <c r="D197" s="34">
        <f>SUM(D195:D196)</f>
        <v>275</v>
      </c>
      <c r="E197" s="35">
        <f>SUM(E195:E196)</f>
        <v>30</v>
      </c>
      <c r="F197" s="35">
        <f>SUM(F195:F196)</f>
        <v>8.370000000000001</v>
      </c>
      <c r="G197" s="35">
        <f aca="true" t="shared" si="44" ref="G197:T197">SUM(G195:G196)</f>
        <v>8.5</v>
      </c>
      <c r="H197" s="35">
        <f t="shared" si="44"/>
        <v>53.45</v>
      </c>
      <c r="I197" s="35">
        <f t="shared" si="44"/>
        <v>323.78</v>
      </c>
      <c r="J197" s="35">
        <f t="shared" si="44"/>
        <v>0.1</v>
      </c>
      <c r="K197" s="35">
        <f t="shared" si="44"/>
        <v>0.16999999999999998</v>
      </c>
      <c r="L197" s="35">
        <f t="shared" si="44"/>
        <v>2.2</v>
      </c>
      <c r="M197" s="35">
        <f t="shared" si="44"/>
        <v>0.04</v>
      </c>
      <c r="N197" s="35">
        <f t="shared" si="44"/>
        <v>0.06</v>
      </c>
      <c r="O197" s="35">
        <f t="shared" si="44"/>
        <v>141.82</v>
      </c>
      <c r="P197" s="35">
        <f t="shared" si="44"/>
        <v>203.9</v>
      </c>
      <c r="Q197" s="35">
        <f t="shared" si="44"/>
        <v>2.1</v>
      </c>
      <c r="R197" s="35">
        <f t="shared" si="44"/>
        <v>0.01</v>
      </c>
      <c r="S197" s="35">
        <f t="shared" si="44"/>
        <v>35.14</v>
      </c>
      <c r="T197" s="35">
        <f t="shared" si="44"/>
        <v>0.7</v>
      </c>
    </row>
    <row r="198" spans="1:20" s="9" customFormat="1" ht="11.25" customHeight="1">
      <c r="A198" s="148" t="s">
        <v>35</v>
      </c>
      <c r="B198" s="148"/>
      <c r="C198" s="148"/>
      <c r="D198" s="148"/>
      <c r="E198" s="39"/>
      <c r="F198" s="58">
        <f aca="true" t="shared" si="45" ref="F198:T198">F197/F200</f>
        <v>0.09300000000000001</v>
      </c>
      <c r="G198" s="59">
        <f t="shared" si="45"/>
        <v>0.09239130434782608</v>
      </c>
      <c r="H198" s="59">
        <f t="shared" si="45"/>
        <v>0.13955613577023498</v>
      </c>
      <c r="I198" s="59">
        <f t="shared" si="45"/>
        <v>0.11903676470588234</v>
      </c>
      <c r="J198" s="59">
        <f t="shared" si="45"/>
        <v>0.07142857142857144</v>
      </c>
      <c r="K198" s="59">
        <f t="shared" si="45"/>
        <v>0.10624999999999998</v>
      </c>
      <c r="L198" s="59">
        <f t="shared" si="45"/>
        <v>0.03142857142857143</v>
      </c>
      <c r="M198" s="59">
        <f t="shared" si="45"/>
        <v>0.044444444444444446</v>
      </c>
      <c r="N198" s="59">
        <f t="shared" si="45"/>
        <v>0.005</v>
      </c>
      <c r="O198" s="59">
        <f t="shared" si="45"/>
        <v>0.11818333333333332</v>
      </c>
      <c r="P198" s="59">
        <f t="shared" si="45"/>
        <v>0.16991666666666666</v>
      </c>
      <c r="Q198" s="59">
        <f t="shared" si="45"/>
        <v>0.15</v>
      </c>
      <c r="R198" s="59">
        <f t="shared" si="45"/>
        <v>0.09999999999999999</v>
      </c>
      <c r="S198" s="59">
        <f t="shared" si="45"/>
        <v>0.11713333333333334</v>
      </c>
      <c r="T198" s="59">
        <f t="shared" si="45"/>
        <v>0.03888888888888889</v>
      </c>
    </row>
    <row r="199" spans="1:20" s="9" customFormat="1" ht="11.25" customHeight="1">
      <c r="A199" s="138" t="s">
        <v>50</v>
      </c>
      <c r="B199" s="138"/>
      <c r="C199" s="138"/>
      <c r="D199" s="138"/>
      <c r="E199" s="39"/>
      <c r="F199" s="36">
        <f aca="true" t="shared" si="46" ref="F199:T199">SUM(F182,F192,F197)</f>
        <v>42.24583333333334</v>
      </c>
      <c r="G199" s="37">
        <f t="shared" si="46"/>
        <v>47.60916666666666</v>
      </c>
      <c r="H199" s="37">
        <f t="shared" si="46"/>
        <v>240.52100000000002</v>
      </c>
      <c r="I199" s="37">
        <f t="shared" si="46"/>
        <v>1589.3938333333333</v>
      </c>
      <c r="J199" s="36">
        <f t="shared" si="46"/>
        <v>0.5248333333333334</v>
      </c>
      <c r="K199" s="36">
        <f t="shared" si="46"/>
        <v>0.9125000000000001</v>
      </c>
      <c r="L199" s="37">
        <f t="shared" si="46"/>
        <v>108.87333333333333</v>
      </c>
      <c r="M199" s="36">
        <f t="shared" si="46"/>
        <v>25.983000000000004</v>
      </c>
      <c r="N199" s="36">
        <f t="shared" si="46"/>
        <v>4.042666666666666</v>
      </c>
      <c r="O199" s="37">
        <f t="shared" si="46"/>
        <v>461.00216666666665</v>
      </c>
      <c r="P199" s="37">
        <f t="shared" si="46"/>
        <v>801.7301666666666</v>
      </c>
      <c r="Q199" s="36">
        <f t="shared" si="46"/>
        <v>7.5553333333333335</v>
      </c>
      <c r="R199" s="38">
        <f t="shared" si="46"/>
        <v>0.05533333333333333</v>
      </c>
      <c r="S199" s="36">
        <f t="shared" si="46"/>
        <v>208.63799999999998</v>
      </c>
      <c r="T199" s="36">
        <f t="shared" si="46"/>
        <v>8.926666666666666</v>
      </c>
    </row>
    <row r="200" spans="1:20" s="9" customFormat="1" ht="11.25" customHeight="1">
      <c r="A200" s="138" t="s">
        <v>51</v>
      </c>
      <c r="B200" s="138"/>
      <c r="C200" s="138"/>
      <c r="D200" s="138"/>
      <c r="E200" s="39"/>
      <c r="F200" s="23">
        <v>90</v>
      </c>
      <c r="G200" s="53">
        <v>92</v>
      </c>
      <c r="H200" s="53">
        <v>383</v>
      </c>
      <c r="I200" s="53">
        <v>2720</v>
      </c>
      <c r="J200" s="23">
        <v>1.4</v>
      </c>
      <c r="K200" s="23">
        <v>1.6</v>
      </c>
      <c r="L200" s="24">
        <v>70</v>
      </c>
      <c r="M200" s="23">
        <v>0.9</v>
      </c>
      <c r="N200" s="24">
        <v>12</v>
      </c>
      <c r="O200" s="24">
        <v>1200</v>
      </c>
      <c r="P200" s="24">
        <v>1200</v>
      </c>
      <c r="Q200" s="24">
        <v>14</v>
      </c>
      <c r="R200" s="53">
        <v>0.1</v>
      </c>
      <c r="S200" s="24">
        <v>300</v>
      </c>
      <c r="T200" s="23">
        <v>18</v>
      </c>
    </row>
    <row r="201" spans="1:20" s="9" customFormat="1" ht="11.25" customHeight="1">
      <c r="A201" s="148" t="s">
        <v>35</v>
      </c>
      <c r="B201" s="148"/>
      <c r="C201" s="148"/>
      <c r="D201" s="148"/>
      <c r="E201" s="39"/>
      <c r="F201" s="58">
        <f aca="true" t="shared" si="47" ref="F201:T201">F199/F200</f>
        <v>0.4693981481481482</v>
      </c>
      <c r="G201" s="59">
        <f t="shared" si="47"/>
        <v>0.5174909420289854</v>
      </c>
      <c r="H201" s="59">
        <f t="shared" si="47"/>
        <v>0.6279921671018277</v>
      </c>
      <c r="I201" s="59">
        <f t="shared" si="47"/>
        <v>0.5843359681372549</v>
      </c>
      <c r="J201" s="59">
        <f t="shared" si="47"/>
        <v>0.3748809523809524</v>
      </c>
      <c r="K201" s="59">
        <f t="shared" si="47"/>
        <v>0.5703125</v>
      </c>
      <c r="L201" s="59">
        <f t="shared" si="47"/>
        <v>1.5553333333333335</v>
      </c>
      <c r="M201" s="60">
        <f t="shared" si="47"/>
        <v>28.870000000000005</v>
      </c>
      <c r="N201" s="59">
        <f t="shared" si="47"/>
        <v>0.33688888888888885</v>
      </c>
      <c r="O201" s="59">
        <f t="shared" si="47"/>
        <v>0.3841684722222222</v>
      </c>
      <c r="P201" s="59">
        <f t="shared" si="47"/>
        <v>0.6681084722222221</v>
      </c>
      <c r="Q201" s="59">
        <f t="shared" si="47"/>
        <v>0.5396666666666666</v>
      </c>
      <c r="R201" s="60">
        <f t="shared" si="47"/>
        <v>0.5533333333333332</v>
      </c>
      <c r="S201" s="59">
        <f t="shared" si="47"/>
        <v>0.69546</v>
      </c>
      <c r="T201" s="60">
        <f t="shared" si="47"/>
        <v>0.4959259259259259</v>
      </c>
    </row>
    <row r="202" spans="1:20" s="9" customFormat="1" ht="11.25" customHeight="1">
      <c r="A202" s="4"/>
      <c r="B202" s="5"/>
      <c r="C202" s="5"/>
      <c r="D202" s="6"/>
      <c r="E202" s="7"/>
      <c r="F202" s="7"/>
      <c r="G202" s="6"/>
      <c r="H202" s="6"/>
      <c r="I202" s="6"/>
      <c r="J202" s="6"/>
      <c r="K202" s="6"/>
      <c r="L202" s="6"/>
      <c r="M202" s="128" t="s">
        <v>0</v>
      </c>
      <c r="N202" s="128"/>
      <c r="O202" s="128"/>
      <c r="P202" s="128"/>
      <c r="Q202" s="128"/>
      <c r="R202" s="128"/>
      <c r="S202" s="128"/>
      <c r="T202" s="128"/>
    </row>
    <row r="203" spans="1:20" s="9" customFormat="1" ht="11.25" customHeight="1">
      <c r="A203" s="147" t="s">
        <v>99</v>
      </c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</row>
    <row r="204" spans="1:20" s="9" customFormat="1" ht="11.25" customHeight="1">
      <c r="A204" s="10" t="s">
        <v>2</v>
      </c>
      <c r="B204" s="5"/>
      <c r="C204" s="5"/>
      <c r="D204" s="8"/>
      <c r="E204" s="11"/>
      <c r="F204" s="7"/>
      <c r="G204" s="130" t="s">
        <v>53</v>
      </c>
      <c r="H204" s="130"/>
      <c r="I204" s="130"/>
      <c r="J204" s="6"/>
      <c r="K204" s="6"/>
      <c r="L204" s="131"/>
      <c r="M204" s="131"/>
      <c r="N204" s="132"/>
      <c r="O204" s="132"/>
      <c r="P204" s="132"/>
      <c r="Q204" s="132"/>
      <c r="R204" s="6"/>
      <c r="S204" s="6"/>
      <c r="T204" s="6"/>
    </row>
    <row r="205" spans="1:20" s="9" customFormat="1" ht="11.25" customHeight="1">
      <c r="A205" s="5"/>
      <c r="B205" s="5"/>
      <c r="C205" s="5"/>
      <c r="D205" s="149" t="s">
        <v>4</v>
      </c>
      <c r="E205" s="149"/>
      <c r="F205" s="149"/>
      <c r="G205" s="12">
        <v>2</v>
      </c>
      <c r="H205" s="6"/>
      <c r="I205" s="8"/>
      <c r="J205" s="8"/>
      <c r="K205" s="8"/>
      <c r="L205" s="149"/>
      <c r="M205" s="149"/>
      <c r="N205" s="130"/>
      <c r="O205" s="130"/>
      <c r="P205" s="130"/>
      <c r="Q205" s="130"/>
      <c r="R205" s="130"/>
      <c r="S205" s="130"/>
      <c r="T205" s="130"/>
    </row>
    <row r="206" spans="1:20" s="9" customFormat="1" ht="21.75" customHeight="1">
      <c r="A206" s="133" t="s">
        <v>54</v>
      </c>
      <c r="B206" s="133" t="s">
        <v>55</v>
      </c>
      <c r="C206" s="133"/>
      <c r="D206" s="133" t="s">
        <v>7</v>
      </c>
      <c r="E206" s="75"/>
      <c r="F206" s="133" t="s">
        <v>8</v>
      </c>
      <c r="G206" s="133"/>
      <c r="H206" s="133"/>
      <c r="I206" s="133" t="s">
        <v>9</v>
      </c>
      <c r="J206" s="133" t="s">
        <v>10</v>
      </c>
      <c r="K206" s="133"/>
      <c r="L206" s="133"/>
      <c r="M206" s="133"/>
      <c r="N206" s="133"/>
      <c r="O206" s="133" t="s">
        <v>11</v>
      </c>
      <c r="P206" s="133"/>
      <c r="Q206" s="133"/>
      <c r="R206" s="133"/>
      <c r="S206" s="133"/>
      <c r="T206" s="133"/>
    </row>
    <row r="207" spans="1:20" s="9" customFormat="1" ht="21" customHeight="1">
      <c r="A207" s="133"/>
      <c r="B207" s="133"/>
      <c r="C207" s="133"/>
      <c r="D207" s="133"/>
      <c r="E207" s="15"/>
      <c r="F207" s="16" t="s">
        <v>12</v>
      </c>
      <c r="G207" s="13" t="s">
        <v>13</v>
      </c>
      <c r="H207" s="13" t="s">
        <v>14</v>
      </c>
      <c r="I207" s="133"/>
      <c r="J207" s="13" t="s">
        <v>15</v>
      </c>
      <c r="K207" s="13" t="s">
        <v>16</v>
      </c>
      <c r="L207" s="13" t="s">
        <v>17</v>
      </c>
      <c r="M207" s="13" t="s">
        <v>18</v>
      </c>
      <c r="N207" s="13" t="s">
        <v>19</v>
      </c>
      <c r="O207" s="13" t="s">
        <v>20</v>
      </c>
      <c r="P207" s="13" t="s">
        <v>21</v>
      </c>
      <c r="Q207" s="13" t="s">
        <v>22</v>
      </c>
      <c r="R207" s="13" t="s">
        <v>23</v>
      </c>
      <c r="S207" s="13" t="s">
        <v>24</v>
      </c>
      <c r="T207" s="13" t="s">
        <v>25</v>
      </c>
    </row>
    <row r="208" spans="1:20" s="9" customFormat="1" ht="11.25" customHeight="1">
      <c r="A208" s="17">
        <v>1</v>
      </c>
      <c r="B208" s="142">
        <v>2</v>
      </c>
      <c r="C208" s="142"/>
      <c r="D208" s="18">
        <v>3</v>
      </c>
      <c r="E208" s="19"/>
      <c r="F208" s="19">
        <v>4</v>
      </c>
      <c r="G208" s="18">
        <v>5</v>
      </c>
      <c r="H208" s="18">
        <v>6</v>
      </c>
      <c r="I208" s="18">
        <v>7</v>
      </c>
      <c r="J208" s="18">
        <v>8</v>
      </c>
      <c r="K208" s="18">
        <v>9</v>
      </c>
      <c r="L208" s="18">
        <v>10</v>
      </c>
      <c r="M208" s="18">
        <v>11</v>
      </c>
      <c r="N208" s="18">
        <v>12</v>
      </c>
      <c r="O208" s="18">
        <v>13</v>
      </c>
      <c r="P208" s="18">
        <v>14</v>
      </c>
      <c r="Q208" s="18">
        <v>15</v>
      </c>
      <c r="R208" s="18">
        <v>16</v>
      </c>
      <c r="S208" s="18">
        <v>17</v>
      </c>
      <c r="T208" s="18">
        <v>18</v>
      </c>
    </row>
    <row r="209" spans="1:20" s="9" customFormat="1" ht="11.25" customHeight="1">
      <c r="A209" s="143" t="s">
        <v>56</v>
      </c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</row>
    <row r="210" spans="1:20" s="9" customFormat="1" ht="21.75" customHeight="1">
      <c r="A210" s="115" t="s">
        <v>30</v>
      </c>
      <c r="B210" s="145" t="s">
        <v>93</v>
      </c>
      <c r="C210" s="145"/>
      <c r="D210" s="112">
        <v>50</v>
      </c>
      <c r="E210" s="109">
        <v>15</v>
      </c>
      <c r="F210" s="109">
        <v>11.599999999999998</v>
      </c>
      <c r="G210" s="109">
        <v>17</v>
      </c>
      <c r="H210" s="109">
        <v>0.05</v>
      </c>
      <c r="I210" s="109">
        <v>199.59999999999997</v>
      </c>
      <c r="J210" s="109">
        <v>0.02</v>
      </c>
      <c r="K210" s="109">
        <v>0.15</v>
      </c>
      <c r="L210" s="109">
        <v>0.35000000000000003</v>
      </c>
      <c r="M210" s="109">
        <v>0.11499999999999999</v>
      </c>
      <c r="N210" s="109">
        <v>0.25</v>
      </c>
      <c r="O210" s="109">
        <v>440</v>
      </c>
      <c r="P210" s="109">
        <v>250</v>
      </c>
      <c r="Q210" s="109">
        <v>2</v>
      </c>
      <c r="R210" s="109">
        <v>0.1</v>
      </c>
      <c r="S210" s="109">
        <v>17.5</v>
      </c>
      <c r="T210" s="109">
        <v>0.65</v>
      </c>
    </row>
    <row r="211" spans="1:20" s="6" customFormat="1" ht="33" customHeight="1">
      <c r="A211" s="111">
        <v>175</v>
      </c>
      <c r="B211" s="139" t="s">
        <v>94</v>
      </c>
      <c r="C211" s="139"/>
      <c r="D211" s="112">
        <v>200</v>
      </c>
      <c r="E211" s="109">
        <v>18.02</v>
      </c>
      <c r="F211" s="109">
        <v>10.44</v>
      </c>
      <c r="G211" s="109">
        <v>11.11</v>
      </c>
      <c r="H211" s="109">
        <v>41.3</v>
      </c>
      <c r="I211" s="109">
        <v>207</v>
      </c>
      <c r="J211" s="109">
        <v>0.26</v>
      </c>
      <c r="K211" s="109">
        <v>0.18</v>
      </c>
      <c r="L211" s="109">
        <v>1.2</v>
      </c>
      <c r="M211" s="109">
        <v>81</v>
      </c>
      <c r="N211" s="109">
        <v>1.3</v>
      </c>
      <c r="O211" s="109">
        <v>158.6</v>
      </c>
      <c r="P211" s="109">
        <v>257.3</v>
      </c>
      <c r="Q211" s="109">
        <v>0</v>
      </c>
      <c r="R211" s="109">
        <v>0</v>
      </c>
      <c r="S211" s="109">
        <v>86.7</v>
      </c>
      <c r="T211" s="109">
        <v>2.75</v>
      </c>
    </row>
    <row r="212" spans="1:20" s="6" customFormat="1" ht="24" customHeight="1">
      <c r="A212" s="111">
        <v>377</v>
      </c>
      <c r="B212" s="139" t="s">
        <v>48</v>
      </c>
      <c r="C212" s="139"/>
      <c r="D212" s="112">
        <v>200</v>
      </c>
      <c r="E212" s="109">
        <v>3.3</v>
      </c>
      <c r="F212" s="109">
        <v>0.26</v>
      </c>
      <c r="G212" s="109">
        <v>0.06</v>
      </c>
      <c r="H212" s="109">
        <v>15.22</v>
      </c>
      <c r="I212" s="109">
        <v>62.46</v>
      </c>
      <c r="J212" s="109">
        <v>0</v>
      </c>
      <c r="K212" s="109">
        <v>0.01</v>
      </c>
      <c r="L212" s="109">
        <v>2.9</v>
      </c>
      <c r="M212" s="109">
        <v>0</v>
      </c>
      <c r="N212" s="109">
        <v>0.06</v>
      </c>
      <c r="O212" s="109">
        <v>8.05</v>
      </c>
      <c r="P212" s="109">
        <v>9.78</v>
      </c>
      <c r="Q212" s="109">
        <v>0.017</v>
      </c>
      <c r="R212" s="109">
        <v>0</v>
      </c>
      <c r="S212" s="109">
        <v>5.24</v>
      </c>
      <c r="T212" s="109">
        <v>0.87</v>
      </c>
    </row>
    <row r="213" spans="1:20" s="6" customFormat="1" ht="11.25" customHeight="1">
      <c r="A213" s="66" t="s">
        <v>30</v>
      </c>
      <c r="B213" s="141" t="s">
        <v>44</v>
      </c>
      <c r="C213" s="141"/>
      <c r="D213" s="24">
        <v>150</v>
      </c>
      <c r="E213" s="23">
        <v>30.97</v>
      </c>
      <c r="F213" s="28">
        <v>0.9</v>
      </c>
      <c r="G213" s="28">
        <v>0.2</v>
      </c>
      <c r="H213" s="28">
        <v>8.1</v>
      </c>
      <c r="I213" s="28">
        <v>136.6</v>
      </c>
      <c r="J213" s="28">
        <v>0.04</v>
      </c>
      <c r="K213" s="28">
        <v>0.03</v>
      </c>
      <c r="L213" s="28">
        <v>60</v>
      </c>
      <c r="M213" s="28">
        <v>0</v>
      </c>
      <c r="N213" s="28">
        <v>0.2</v>
      </c>
      <c r="O213" s="28">
        <v>34</v>
      </c>
      <c r="P213" s="28">
        <v>23</v>
      </c>
      <c r="Q213" s="28">
        <v>0.2</v>
      </c>
      <c r="R213" s="28">
        <v>0</v>
      </c>
      <c r="S213" s="28">
        <v>15</v>
      </c>
      <c r="T213" s="28">
        <v>0.3</v>
      </c>
    </row>
    <row r="214" spans="1:20" s="6" customFormat="1" ht="11.25" customHeight="1">
      <c r="A214" s="26" t="s">
        <v>30</v>
      </c>
      <c r="B214" s="140" t="s">
        <v>31</v>
      </c>
      <c r="C214" s="140"/>
      <c r="D214" s="27" t="s">
        <v>32</v>
      </c>
      <c r="E214" s="23"/>
      <c r="F214" s="30">
        <v>5.6</v>
      </c>
      <c r="G214" s="30">
        <v>6.4</v>
      </c>
      <c r="H214" s="30">
        <v>9.4</v>
      </c>
      <c r="I214" s="30">
        <v>117.6</v>
      </c>
      <c r="J214" s="30">
        <v>0.08</v>
      </c>
      <c r="K214" s="30">
        <v>0.307</v>
      </c>
      <c r="L214" s="30">
        <v>2.6</v>
      </c>
      <c r="M214" s="30">
        <v>0.067</v>
      </c>
      <c r="N214" s="30">
        <v>0.292</v>
      </c>
      <c r="O214" s="30">
        <v>240</v>
      </c>
      <c r="P214" s="30">
        <v>180</v>
      </c>
      <c r="Q214" s="30">
        <v>0.8</v>
      </c>
      <c r="R214" s="30">
        <v>0.018</v>
      </c>
      <c r="S214" s="30">
        <v>28</v>
      </c>
      <c r="T214" s="30">
        <v>0.12</v>
      </c>
    </row>
    <row r="215" spans="1:20" s="6" customFormat="1" ht="11.25" customHeight="1">
      <c r="A215" s="93" t="s">
        <v>60</v>
      </c>
      <c r="B215" s="79"/>
      <c r="C215" s="79"/>
      <c r="D215" s="34">
        <v>800</v>
      </c>
      <c r="E215" s="35">
        <f>SUM(E210:E213)</f>
        <v>67.28999999999999</v>
      </c>
      <c r="F215" s="36">
        <f>SUM(F210:F214)</f>
        <v>28.799999999999997</v>
      </c>
      <c r="G215" s="36">
        <f aca="true" t="shared" si="48" ref="G215:T215">SUM(G210:G214)</f>
        <v>34.769999999999996</v>
      </c>
      <c r="H215" s="36">
        <f t="shared" si="48"/>
        <v>74.07</v>
      </c>
      <c r="I215" s="36">
        <f t="shared" si="48"/>
        <v>723.26</v>
      </c>
      <c r="J215" s="36">
        <f t="shared" si="48"/>
        <v>0.4</v>
      </c>
      <c r="K215" s="36">
        <f t="shared" si="48"/>
        <v>0.677</v>
      </c>
      <c r="L215" s="36">
        <f t="shared" si="48"/>
        <v>67.05</v>
      </c>
      <c r="M215" s="36">
        <f t="shared" si="48"/>
        <v>81.18199999999999</v>
      </c>
      <c r="N215" s="36">
        <f t="shared" si="48"/>
        <v>2.102</v>
      </c>
      <c r="O215" s="36">
        <f t="shared" si="48"/>
        <v>880.65</v>
      </c>
      <c r="P215" s="36">
        <f t="shared" si="48"/>
        <v>720.08</v>
      </c>
      <c r="Q215" s="36">
        <f t="shared" si="48"/>
        <v>3.0170000000000003</v>
      </c>
      <c r="R215" s="36">
        <f t="shared" si="48"/>
        <v>0.11800000000000001</v>
      </c>
      <c r="S215" s="36">
        <f t="shared" si="48"/>
        <v>152.44</v>
      </c>
      <c r="T215" s="36">
        <f t="shared" si="48"/>
        <v>4.6899999999999995</v>
      </c>
    </row>
    <row r="216" spans="1:20" s="6" customFormat="1" ht="11.25" customHeight="1">
      <c r="A216" s="148" t="s">
        <v>35</v>
      </c>
      <c r="B216" s="148"/>
      <c r="C216" s="148"/>
      <c r="D216" s="148"/>
      <c r="E216" s="69"/>
      <c r="F216" s="80">
        <f aca="true" t="shared" si="49" ref="F216:T216">F215/F233</f>
        <v>0.31999999999999995</v>
      </c>
      <c r="G216" s="59">
        <f t="shared" si="49"/>
        <v>0.3779347826086956</v>
      </c>
      <c r="H216" s="59">
        <f t="shared" si="49"/>
        <v>0.1933942558746736</v>
      </c>
      <c r="I216" s="59">
        <f t="shared" si="49"/>
        <v>0.26590441176470586</v>
      </c>
      <c r="J216" s="59">
        <f t="shared" si="49"/>
        <v>0.28571428571428575</v>
      </c>
      <c r="K216" s="59">
        <f t="shared" si="49"/>
        <v>0.42312500000000003</v>
      </c>
      <c r="L216" s="59">
        <f t="shared" si="49"/>
        <v>0.9578571428571429</v>
      </c>
      <c r="M216" s="59">
        <f t="shared" si="49"/>
        <v>90.2022222222222</v>
      </c>
      <c r="N216" s="59">
        <f t="shared" si="49"/>
        <v>0.17516666666666666</v>
      </c>
      <c r="O216" s="59">
        <f t="shared" si="49"/>
        <v>0.7338749999999999</v>
      </c>
      <c r="P216" s="59">
        <f t="shared" si="49"/>
        <v>0.6000666666666667</v>
      </c>
      <c r="Q216" s="59">
        <f t="shared" si="49"/>
        <v>0.21550000000000002</v>
      </c>
      <c r="R216" s="59">
        <f t="shared" si="49"/>
        <v>1.18</v>
      </c>
      <c r="S216" s="59">
        <f t="shared" si="49"/>
        <v>0.5081333333333333</v>
      </c>
      <c r="T216" s="59">
        <f t="shared" si="49"/>
        <v>0.26055555555555554</v>
      </c>
    </row>
    <row r="217" spans="1:20" s="6" customFormat="1" ht="11.25" customHeight="1">
      <c r="A217" s="162" t="s">
        <v>36</v>
      </c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</row>
    <row r="218" spans="1:20" s="6" customFormat="1" ht="11.25" customHeight="1">
      <c r="A218" s="122">
        <v>67</v>
      </c>
      <c r="B218" s="163" t="s">
        <v>101</v>
      </c>
      <c r="C218" s="163"/>
      <c r="D218" s="122">
        <v>60</v>
      </c>
      <c r="E218" s="51">
        <v>6.83</v>
      </c>
      <c r="F218" s="51">
        <f>1.5*D218/60</f>
        <v>1.5</v>
      </c>
      <c r="G218" s="51">
        <f>3.47*D218/60</f>
        <v>3.47</v>
      </c>
      <c r="H218" s="51">
        <f>6.77*D218/60</f>
        <v>6.77</v>
      </c>
      <c r="I218" s="23">
        <f>F218*4+G218*9+H218*4</f>
        <v>64.31</v>
      </c>
      <c r="J218" s="51">
        <f>0.04*D218/60</f>
        <v>0.04</v>
      </c>
      <c r="K218" s="51">
        <f>0.03*D218/60</f>
        <v>0.029999999999999995</v>
      </c>
      <c r="L218" s="51">
        <f>8.6*D218/60</f>
        <v>8.6</v>
      </c>
      <c r="M218" s="51">
        <f>0.74*D218/60</f>
        <v>0.74</v>
      </c>
      <c r="N218" s="51">
        <f>0.2*D218/60</f>
        <v>0.2</v>
      </c>
      <c r="O218" s="51">
        <f>23.39*D218/60</f>
        <v>23.39</v>
      </c>
      <c r="P218" s="51">
        <f>34.04*D218/60</f>
        <v>34.04</v>
      </c>
      <c r="Q218" s="51">
        <f>0.01*D218/60</f>
        <v>0.01</v>
      </c>
      <c r="R218" s="51">
        <f>0.04*D218/60</f>
        <v>0.04</v>
      </c>
      <c r="S218" s="51">
        <f>15.61*D218/60</f>
        <v>15.609999999999998</v>
      </c>
      <c r="T218" s="51">
        <f>0.7*D218/60</f>
        <v>0.7</v>
      </c>
    </row>
    <row r="219" spans="1:20" s="6" customFormat="1" ht="22.5" customHeight="1">
      <c r="A219" s="17">
        <v>103</v>
      </c>
      <c r="B219" s="127" t="s">
        <v>62</v>
      </c>
      <c r="C219" s="127"/>
      <c r="D219" s="25">
        <v>250</v>
      </c>
      <c r="E219" s="23">
        <v>10.81</v>
      </c>
      <c r="F219" s="28">
        <v>2.69</v>
      </c>
      <c r="G219" s="28">
        <v>2.84</v>
      </c>
      <c r="H219" s="28">
        <v>17.14</v>
      </c>
      <c r="I219" s="28">
        <v>104.75</v>
      </c>
      <c r="J219" s="28">
        <v>0.11</v>
      </c>
      <c r="K219" s="28">
        <v>0.21</v>
      </c>
      <c r="L219" s="28">
        <v>8.25</v>
      </c>
      <c r="M219" s="28">
        <v>0</v>
      </c>
      <c r="N219" s="28">
        <v>0.379</v>
      </c>
      <c r="O219" s="28">
        <v>24.6</v>
      </c>
      <c r="P219" s="28">
        <v>66.65</v>
      </c>
      <c r="Q219" s="28">
        <v>0.13</v>
      </c>
      <c r="R219" s="28">
        <v>0.001</v>
      </c>
      <c r="S219" s="28">
        <v>27</v>
      </c>
      <c r="T219" s="28">
        <v>1.09</v>
      </c>
    </row>
    <row r="220" spans="1:20" s="6" customFormat="1" ht="12.75" customHeight="1">
      <c r="A220" s="29">
        <v>261</v>
      </c>
      <c r="B220" s="127" t="s">
        <v>96</v>
      </c>
      <c r="C220" s="127"/>
      <c r="D220" s="24">
        <v>120</v>
      </c>
      <c r="E220" s="23">
        <v>33.33</v>
      </c>
      <c r="F220" s="28">
        <v>22.06</v>
      </c>
      <c r="G220" s="28">
        <v>18.23</v>
      </c>
      <c r="H220" s="28">
        <v>5.88</v>
      </c>
      <c r="I220" s="28">
        <v>276.25</v>
      </c>
      <c r="J220" s="28">
        <v>0.074</v>
      </c>
      <c r="K220" s="28">
        <v>0.06</v>
      </c>
      <c r="L220" s="28">
        <v>0.03</v>
      </c>
      <c r="M220" s="28">
        <v>53.75</v>
      </c>
      <c r="N220" s="28">
        <v>1.68</v>
      </c>
      <c r="O220" s="28">
        <v>68.13</v>
      </c>
      <c r="P220" s="28">
        <v>166.13</v>
      </c>
      <c r="Q220" s="28">
        <v>4.33</v>
      </c>
      <c r="R220" s="28">
        <v>0.06</v>
      </c>
      <c r="S220" s="28">
        <v>25.38</v>
      </c>
      <c r="T220" s="28">
        <v>2.03</v>
      </c>
    </row>
    <row r="221" spans="1:20" s="6" customFormat="1" ht="12.75" customHeight="1">
      <c r="A221" s="29">
        <v>171</v>
      </c>
      <c r="B221" s="127" t="s">
        <v>102</v>
      </c>
      <c r="C221" s="127"/>
      <c r="D221" s="24">
        <v>180</v>
      </c>
      <c r="E221" s="23">
        <v>14.94</v>
      </c>
      <c r="F221" s="28">
        <v>7.884</v>
      </c>
      <c r="G221" s="28">
        <v>5.028</v>
      </c>
      <c r="H221" s="28">
        <v>38.784</v>
      </c>
      <c r="I221" s="28">
        <v>231.924</v>
      </c>
      <c r="J221" s="28">
        <v>0.072</v>
      </c>
      <c r="K221" s="28">
        <v>0.036</v>
      </c>
      <c r="L221" s="28">
        <v>0</v>
      </c>
      <c r="M221" s="28">
        <v>0.036</v>
      </c>
      <c r="N221" s="28">
        <v>3.06</v>
      </c>
      <c r="O221" s="28">
        <v>21.744</v>
      </c>
      <c r="P221" s="28">
        <v>188.436</v>
      </c>
      <c r="Q221" s="28">
        <v>1.068</v>
      </c>
      <c r="R221" s="28">
        <v>0.002</v>
      </c>
      <c r="S221" s="28">
        <v>125.34</v>
      </c>
      <c r="T221" s="28">
        <v>4.26</v>
      </c>
    </row>
    <row r="222" spans="1:20" s="6" customFormat="1" ht="24" customHeight="1">
      <c r="A222" s="17">
        <v>345</v>
      </c>
      <c r="B222" s="127" t="s">
        <v>64</v>
      </c>
      <c r="C222" s="127"/>
      <c r="D222" s="24">
        <v>200</v>
      </c>
      <c r="E222" s="23">
        <v>5.1</v>
      </c>
      <c r="F222" s="28">
        <v>0.06</v>
      </c>
      <c r="G222" s="28">
        <v>0.02</v>
      </c>
      <c r="H222" s="28">
        <v>20.73</v>
      </c>
      <c r="I222" s="28">
        <v>83.34</v>
      </c>
      <c r="J222" s="28">
        <v>0</v>
      </c>
      <c r="K222" s="28">
        <v>0</v>
      </c>
      <c r="L222" s="28">
        <v>2.5</v>
      </c>
      <c r="M222" s="28">
        <v>0.004</v>
      </c>
      <c r="N222" s="28">
        <v>0.2</v>
      </c>
      <c r="O222" s="28">
        <v>4</v>
      </c>
      <c r="P222" s="28">
        <v>3.3</v>
      </c>
      <c r="Q222" s="28">
        <v>0.08</v>
      </c>
      <c r="R222" s="28">
        <v>0.001</v>
      </c>
      <c r="S222" s="28">
        <v>1.7</v>
      </c>
      <c r="T222" s="28">
        <v>0.15</v>
      </c>
    </row>
    <row r="223" spans="1:20" s="6" customFormat="1" ht="11.25" customHeight="1">
      <c r="A223" s="51" t="s">
        <v>30</v>
      </c>
      <c r="B223" s="127" t="s">
        <v>43</v>
      </c>
      <c r="C223" s="127"/>
      <c r="D223" s="24">
        <v>50</v>
      </c>
      <c r="E223" s="23">
        <v>2.35</v>
      </c>
      <c r="F223" s="23">
        <f>2.64*D223/40</f>
        <v>3.3</v>
      </c>
      <c r="G223" s="23">
        <f>0.48*D223/40</f>
        <v>0.6</v>
      </c>
      <c r="H223" s="23">
        <f>13.68*D223/40</f>
        <v>17.1</v>
      </c>
      <c r="I223" s="23">
        <f>F223*4+G223*9+H223*4</f>
        <v>87</v>
      </c>
      <c r="J223" s="23">
        <f>0.08*D223/40</f>
        <v>0.1</v>
      </c>
      <c r="K223" s="23">
        <f>0.04*D223/40</f>
        <v>0.05</v>
      </c>
      <c r="L223" s="23">
        <v>0</v>
      </c>
      <c r="M223" s="23">
        <v>0</v>
      </c>
      <c r="N223" s="23">
        <f>2.4*D223/40</f>
        <v>3</v>
      </c>
      <c r="O223" s="23">
        <f>14*D223/40</f>
        <v>17.5</v>
      </c>
      <c r="P223" s="23">
        <f>63.2*D223/40</f>
        <v>79</v>
      </c>
      <c r="Q223" s="23">
        <f>1.2*D223/40</f>
        <v>1.5</v>
      </c>
      <c r="R223" s="23">
        <f>0.001*D223/40</f>
        <v>0.00125</v>
      </c>
      <c r="S223" s="23">
        <f>9.4*D223/40</f>
        <v>11.75</v>
      </c>
      <c r="T223" s="23">
        <f>0.78*D223/40</f>
        <v>0.975</v>
      </c>
    </row>
    <row r="224" spans="1:20" s="6" customFormat="1" ht="11.25" customHeight="1">
      <c r="A224" s="66" t="s">
        <v>30</v>
      </c>
      <c r="B224" s="141" t="s">
        <v>44</v>
      </c>
      <c r="C224" s="141"/>
      <c r="D224" s="24">
        <v>100</v>
      </c>
      <c r="E224" s="23">
        <v>16.64</v>
      </c>
      <c r="F224" s="28">
        <v>0.9</v>
      </c>
      <c r="G224" s="28">
        <v>0.2</v>
      </c>
      <c r="H224" s="28">
        <v>8.1</v>
      </c>
      <c r="I224" s="28">
        <v>136.6</v>
      </c>
      <c r="J224" s="28">
        <v>0.04</v>
      </c>
      <c r="K224" s="28">
        <v>0.03</v>
      </c>
      <c r="L224" s="28">
        <v>60</v>
      </c>
      <c r="M224" s="28">
        <v>0</v>
      </c>
      <c r="N224" s="28">
        <v>0.2</v>
      </c>
      <c r="O224" s="28">
        <v>34</v>
      </c>
      <c r="P224" s="28">
        <v>23</v>
      </c>
      <c r="Q224" s="28">
        <v>0.2</v>
      </c>
      <c r="R224" s="28">
        <v>0</v>
      </c>
      <c r="S224" s="28">
        <v>15</v>
      </c>
      <c r="T224" s="28">
        <v>0.3</v>
      </c>
    </row>
    <row r="225" spans="1:20" s="6" customFormat="1" ht="11.25" customHeight="1">
      <c r="A225" s="54" t="s">
        <v>45</v>
      </c>
      <c r="B225" s="55"/>
      <c r="C225" s="55"/>
      <c r="D225" s="33">
        <f>SUM(D218:D224)</f>
        <v>960</v>
      </c>
      <c r="E225" s="35">
        <f>SUM(E218:E224)</f>
        <v>89.99999999999999</v>
      </c>
      <c r="F225" s="36">
        <f>SUM(F218:F224)</f>
        <v>38.394</v>
      </c>
      <c r="G225" s="36">
        <f aca="true" t="shared" si="50" ref="G225:T225">SUM(G218:G224)</f>
        <v>30.387999999999998</v>
      </c>
      <c r="H225" s="36">
        <f t="shared" si="50"/>
        <v>114.50399999999999</v>
      </c>
      <c r="I225" s="36">
        <f t="shared" si="50"/>
        <v>984.1740000000001</v>
      </c>
      <c r="J225" s="36">
        <f t="shared" si="50"/>
        <v>0.436</v>
      </c>
      <c r="K225" s="36">
        <f t="shared" si="50"/>
        <v>0.4159999999999999</v>
      </c>
      <c r="L225" s="36">
        <f t="shared" si="50"/>
        <v>79.38</v>
      </c>
      <c r="M225" s="36">
        <f t="shared" si="50"/>
        <v>54.53</v>
      </c>
      <c r="N225" s="36">
        <f t="shared" si="50"/>
        <v>8.719</v>
      </c>
      <c r="O225" s="36">
        <f t="shared" si="50"/>
        <v>193.364</v>
      </c>
      <c r="P225" s="36">
        <f t="shared" si="50"/>
        <v>560.556</v>
      </c>
      <c r="Q225" s="36">
        <f t="shared" si="50"/>
        <v>7.3180000000000005</v>
      </c>
      <c r="R225" s="36">
        <f t="shared" si="50"/>
        <v>0.10525000000000001</v>
      </c>
      <c r="S225" s="36">
        <f t="shared" si="50"/>
        <v>221.77999999999997</v>
      </c>
      <c r="T225" s="36">
        <f t="shared" si="50"/>
        <v>9.505</v>
      </c>
    </row>
    <row r="226" spans="1:20" s="6" customFormat="1" ht="11.25" customHeight="1">
      <c r="A226" s="148" t="s">
        <v>35</v>
      </c>
      <c r="B226" s="148"/>
      <c r="C226" s="148"/>
      <c r="D226" s="148"/>
      <c r="E226" s="69"/>
      <c r="F226" s="80">
        <f aca="true" t="shared" si="51" ref="F226:T226">F225/F233</f>
        <v>0.4266</v>
      </c>
      <c r="G226" s="59">
        <f t="shared" si="51"/>
        <v>0.3303043478260869</v>
      </c>
      <c r="H226" s="59">
        <f t="shared" si="51"/>
        <v>0.29896605744125326</v>
      </c>
      <c r="I226" s="59">
        <f t="shared" si="51"/>
        <v>0.36182867647058825</v>
      </c>
      <c r="J226" s="59">
        <f t="shared" si="51"/>
        <v>0.31142857142857144</v>
      </c>
      <c r="K226" s="59">
        <f t="shared" si="51"/>
        <v>0.25999999999999995</v>
      </c>
      <c r="L226" s="59">
        <f t="shared" si="51"/>
        <v>1.134</v>
      </c>
      <c r="M226" s="59">
        <f t="shared" si="51"/>
        <v>60.58888888888889</v>
      </c>
      <c r="N226" s="59">
        <f t="shared" si="51"/>
        <v>0.7265833333333332</v>
      </c>
      <c r="O226" s="59">
        <f t="shared" si="51"/>
        <v>0.16113666666666668</v>
      </c>
      <c r="P226" s="59">
        <f t="shared" si="51"/>
        <v>0.46713000000000005</v>
      </c>
      <c r="Q226" s="59">
        <f t="shared" si="51"/>
        <v>0.5227142857142858</v>
      </c>
      <c r="R226" s="59">
        <f t="shared" si="51"/>
        <v>1.0525</v>
      </c>
      <c r="S226" s="59">
        <f t="shared" si="51"/>
        <v>0.7392666666666666</v>
      </c>
      <c r="T226" s="59">
        <f t="shared" si="51"/>
        <v>0.5280555555555556</v>
      </c>
    </row>
    <row r="227" spans="1:20" s="6" customFormat="1" ht="11.25" customHeight="1">
      <c r="A227" s="143" t="s">
        <v>46</v>
      </c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</row>
    <row r="228" spans="1:20" s="6" customFormat="1" ht="11.25" customHeight="1">
      <c r="A228" s="17"/>
      <c r="B228" s="127" t="s">
        <v>103</v>
      </c>
      <c r="C228" s="127"/>
      <c r="D228" s="24">
        <v>75</v>
      </c>
      <c r="E228" s="23">
        <v>16.83</v>
      </c>
      <c r="F228" s="23">
        <v>5.2</v>
      </c>
      <c r="G228" s="23">
        <v>5.82</v>
      </c>
      <c r="H228" s="23">
        <v>37.5</v>
      </c>
      <c r="I228" s="23">
        <f>F228*4+G228*9+H228*4</f>
        <v>223.18</v>
      </c>
      <c r="J228" s="23">
        <v>0.06</v>
      </c>
      <c r="K228" s="23">
        <v>0.02</v>
      </c>
      <c r="L228" s="53">
        <v>0.9</v>
      </c>
      <c r="M228" s="23">
        <v>0.01</v>
      </c>
      <c r="N228" s="25">
        <v>0</v>
      </c>
      <c r="O228" s="53">
        <v>21.42</v>
      </c>
      <c r="P228" s="23">
        <v>113.9</v>
      </c>
      <c r="Q228" s="53">
        <v>1</v>
      </c>
      <c r="R228" s="24">
        <v>0</v>
      </c>
      <c r="S228" s="23">
        <v>21.14</v>
      </c>
      <c r="T228" s="23">
        <v>0.58</v>
      </c>
    </row>
    <row r="229" spans="1:20" s="6" customFormat="1" ht="12" customHeight="1">
      <c r="A229" s="17">
        <v>389</v>
      </c>
      <c r="B229" s="127" t="s">
        <v>104</v>
      </c>
      <c r="C229" s="127"/>
      <c r="D229" s="24">
        <v>200</v>
      </c>
      <c r="E229" s="23">
        <v>13.17</v>
      </c>
      <c r="F229" s="23">
        <v>1</v>
      </c>
      <c r="G229" s="23">
        <v>0.2</v>
      </c>
      <c r="H229" s="23">
        <v>20.2</v>
      </c>
      <c r="I229" s="23">
        <f>F229*4+G229*9+H229*4</f>
        <v>86.6</v>
      </c>
      <c r="J229" s="25">
        <v>0.02</v>
      </c>
      <c r="K229" s="25">
        <v>0.02</v>
      </c>
      <c r="L229" s="53">
        <v>4.8</v>
      </c>
      <c r="M229" s="25">
        <v>0</v>
      </c>
      <c r="N229" s="25">
        <v>0</v>
      </c>
      <c r="O229" s="53">
        <v>14</v>
      </c>
      <c r="P229" s="53">
        <v>18</v>
      </c>
      <c r="Q229" s="53">
        <v>0.03</v>
      </c>
      <c r="R229" s="53">
        <v>0</v>
      </c>
      <c r="S229" s="53">
        <v>8</v>
      </c>
      <c r="T229" s="23">
        <v>0.72</v>
      </c>
    </row>
    <row r="230" spans="1:20" s="9" customFormat="1" ht="11.25" customHeight="1">
      <c r="A230" s="54" t="s">
        <v>49</v>
      </c>
      <c r="B230" s="55"/>
      <c r="C230" s="55"/>
      <c r="D230" s="34">
        <f>SUM(D228:D229)</f>
        <v>275</v>
      </c>
      <c r="E230" s="35">
        <f>SUM(E228:E229)</f>
        <v>30</v>
      </c>
      <c r="F230" s="36">
        <f>SUM(F228:F229)</f>
        <v>6.2</v>
      </c>
      <c r="G230" s="36">
        <f aca="true" t="shared" si="52" ref="G230:T230">SUM(G228:G229)</f>
        <v>6.0200000000000005</v>
      </c>
      <c r="H230" s="36">
        <f t="shared" si="52"/>
        <v>57.7</v>
      </c>
      <c r="I230" s="36">
        <f t="shared" si="52"/>
        <v>309.78</v>
      </c>
      <c r="J230" s="36">
        <f t="shared" si="52"/>
        <v>0.08</v>
      </c>
      <c r="K230" s="36">
        <f t="shared" si="52"/>
        <v>0.04</v>
      </c>
      <c r="L230" s="36">
        <f t="shared" si="52"/>
        <v>5.7</v>
      </c>
      <c r="M230" s="36">
        <f t="shared" si="52"/>
        <v>0.01</v>
      </c>
      <c r="N230" s="36">
        <f t="shared" si="52"/>
        <v>0</v>
      </c>
      <c r="O230" s="36">
        <f t="shared" si="52"/>
        <v>35.42</v>
      </c>
      <c r="P230" s="36">
        <f t="shared" si="52"/>
        <v>131.9</v>
      </c>
      <c r="Q230" s="36">
        <f t="shared" si="52"/>
        <v>1.03</v>
      </c>
      <c r="R230" s="36">
        <f t="shared" si="52"/>
        <v>0</v>
      </c>
      <c r="S230" s="36">
        <f t="shared" si="52"/>
        <v>29.14</v>
      </c>
      <c r="T230" s="36">
        <f t="shared" si="52"/>
        <v>1.2999999999999998</v>
      </c>
    </row>
    <row r="231" spans="1:20" s="9" customFormat="1" ht="11.25" customHeight="1">
      <c r="A231" s="148" t="s">
        <v>35</v>
      </c>
      <c r="B231" s="148"/>
      <c r="C231" s="148"/>
      <c r="D231" s="148"/>
      <c r="E231" s="39"/>
      <c r="F231" s="58">
        <f aca="true" t="shared" si="53" ref="F231:T231">F230/F233</f>
        <v>0.06888888888888889</v>
      </c>
      <c r="G231" s="59">
        <f t="shared" si="53"/>
        <v>0.06543478260869566</v>
      </c>
      <c r="H231" s="59">
        <f t="shared" si="53"/>
        <v>0.1506527415143603</v>
      </c>
      <c r="I231" s="59">
        <f t="shared" si="53"/>
        <v>0.11388970588235293</v>
      </c>
      <c r="J231" s="59">
        <f t="shared" si="53"/>
        <v>0.05714285714285715</v>
      </c>
      <c r="K231" s="59">
        <f t="shared" si="53"/>
        <v>0.024999999999999998</v>
      </c>
      <c r="L231" s="59">
        <f t="shared" si="53"/>
        <v>0.08142857142857143</v>
      </c>
      <c r="M231" s="59">
        <f t="shared" si="53"/>
        <v>0.011111111111111112</v>
      </c>
      <c r="N231" s="59">
        <f t="shared" si="53"/>
        <v>0</v>
      </c>
      <c r="O231" s="59">
        <f t="shared" si="53"/>
        <v>0.029516666666666667</v>
      </c>
      <c r="P231" s="59">
        <f t="shared" si="53"/>
        <v>0.10991666666666668</v>
      </c>
      <c r="Q231" s="59">
        <f t="shared" si="53"/>
        <v>0.07357142857142858</v>
      </c>
      <c r="R231" s="59">
        <f t="shared" si="53"/>
        <v>0</v>
      </c>
      <c r="S231" s="59">
        <f t="shared" si="53"/>
        <v>0.09713333333333334</v>
      </c>
      <c r="T231" s="59">
        <f t="shared" si="53"/>
        <v>0.07222222222222222</v>
      </c>
    </row>
    <row r="232" spans="1:20" s="9" customFormat="1" ht="11.25" customHeight="1">
      <c r="A232" s="138" t="s">
        <v>50</v>
      </c>
      <c r="B232" s="138"/>
      <c r="C232" s="138"/>
      <c r="D232" s="138"/>
      <c r="E232" s="39"/>
      <c r="F232" s="36">
        <f aca="true" t="shared" si="54" ref="F232:T232">SUM(F215,F225,F230)</f>
        <v>73.39399999999999</v>
      </c>
      <c r="G232" s="37">
        <f t="shared" si="54"/>
        <v>71.17799999999998</v>
      </c>
      <c r="H232" s="37">
        <f t="shared" si="54"/>
        <v>246.274</v>
      </c>
      <c r="I232" s="37">
        <f t="shared" si="54"/>
        <v>2017.2140000000002</v>
      </c>
      <c r="J232" s="36">
        <f t="shared" si="54"/>
        <v>0.916</v>
      </c>
      <c r="K232" s="36">
        <f t="shared" si="54"/>
        <v>1.133</v>
      </c>
      <c r="L232" s="37">
        <f t="shared" si="54"/>
        <v>152.13</v>
      </c>
      <c r="M232" s="36">
        <f t="shared" si="54"/>
        <v>135.72199999999998</v>
      </c>
      <c r="N232" s="36">
        <f t="shared" si="54"/>
        <v>10.821</v>
      </c>
      <c r="O232" s="37">
        <f t="shared" si="54"/>
        <v>1109.434</v>
      </c>
      <c r="P232" s="37">
        <f t="shared" si="54"/>
        <v>1412.536</v>
      </c>
      <c r="Q232" s="36">
        <f t="shared" si="54"/>
        <v>11.365</v>
      </c>
      <c r="R232" s="38">
        <f t="shared" si="54"/>
        <v>0.22325</v>
      </c>
      <c r="S232" s="36">
        <f t="shared" si="54"/>
        <v>403.35999999999996</v>
      </c>
      <c r="T232" s="36">
        <f t="shared" si="54"/>
        <v>15.495000000000001</v>
      </c>
    </row>
    <row r="233" spans="1:20" s="9" customFormat="1" ht="11.25" customHeight="1">
      <c r="A233" s="138" t="s">
        <v>51</v>
      </c>
      <c r="B233" s="138"/>
      <c r="C233" s="138"/>
      <c r="D233" s="138"/>
      <c r="E233" s="39"/>
      <c r="F233" s="23">
        <v>90</v>
      </c>
      <c r="G233" s="53">
        <v>92</v>
      </c>
      <c r="H233" s="53">
        <v>383</v>
      </c>
      <c r="I233" s="53">
        <v>2720</v>
      </c>
      <c r="J233" s="23">
        <v>1.4</v>
      </c>
      <c r="K233" s="23">
        <v>1.6</v>
      </c>
      <c r="L233" s="24">
        <v>70</v>
      </c>
      <c r="M233" s="23">
        <v>0.9</v>
      </c>
      <c r="N233" s="24">
        <v>12</v>
      </c>
      <c r="O233" s="24">
        <v>1200</v>
      </c>
      <c r="P233" s="24">
        <v>1200</v>
      </c>
      <c r="Q233" s="24">
        <v>14</v>
      </c>
      <c r="R233" s="53">
        <v>0.1</v>
      </c>
      <c r="S233" s="24">
        <v>300</v>
      </c>
      <c r="T233" s="23">
        <v>18</v>
      </c>
    </row>
    <row r="234" spans="1:20" s="9" customFormat="1" ht="11.25" customHeight="1">
      <c r="A234" s="148" t="s">
        <v>35</v>
      </c>
      <c r="B234" s="148"/>
      <c r="C234" s="148"/>
      <c r="D234" s="148"/>
      <c r="E234" s="39"/>
      <c r="F234" s="58">
        <f aca="true" t="shared" si="55" ref="F234:T234">F232/F233</f>
        <v>0.8154888888888888</v>
      </c>
      <c r="G234" s="59">
        <f t="shared" si="55"/>
        <v>0.7736739130434781</v>
      </c>
      <c r="H234" s="59">
        <f t="shared" si="55"/>
        <v>0.6430130548302873</v>
      </c>
      <c r="I234" s="59">
        <f t="shared" si="55"/>
        <v>0.7416227941176471</v>
      </c>
      <c r="J234" s="59">
        <f t="shared" si="55"/>
        <v>0.6542857142857144</v>
      </c>
      <c r="K234" s="59">
        <f t="shared" si="55"/>
        <v>0.708125</v>
      </c>
      <c r="L234" s="59">
        <f t="shared" si="55"/>
        <v>2.173285714285714</v>
      </c>
      <c r="M234" s="60">
        <f t="shared" si="55"/>
        <v>150.80222222222218</v>
      </c>
      <c r="N234" s="59">
        <f t="shared" si="55"/>
        <v>0.9017499999999999</v>
      </c>
      <c r="O234" s="59">
        <f t="shared" si="55"/>
        <v>0.9245283333333333</v>
      </c>
      <c r="P234" s="59">
        <f t="shared" si="55"/>
        <v>1.1771133333333335</v>
      </c>
      <c r="Q234" s="59">
        <f t="shared" si="55"/>
        <v>0.8117857142857143</v>
      </c>
      <c r="R234" s="60">
        <f t="shared" si="55"/>
        <v>2.2325</v>
      </c>
      <c r="S234" s="59">
        <f t="shared" si="55"/>
        <v>1.3445333333333331</v>
      </c>
      <c r="T234" s="60">
        <f t="shared" si="55"/>
        <v>0.8608333333333333</v>
      </c>
    </row>
    <row r="235" spans="1:20" s="9" customFormat="1" ht="11.25" customHeight="1">
      <c r="A235" s="5"/>
      <c r="B235" s="5"/>
      <c r="C235" s="61"/>
      <c r="D235" s="61"/>
      <c r="E235" s="62"/>
      <c r="F235" s="11"/>
      <c r="G235" s="6"/>
      <c r="H235" s="8"/>
      <c r="I235" s="8"/>
      <c r="J235" s="6"/>
      <c r="K235" s="6"/>
      <c r="L235" s="6"/>
      <c r="M235" s="128" t="s">
        <v>0</v>
      </c>
      <c r="N235" s="128"/>
      <c r="O235" s="128"/>
      <c r="P235" s="128"/>
      <c r="Q235" s="128"/>
      <c r="R235" s="128"/>
      <c r="S235" s="128"/>
      <c r="T235" s="128"/>
    </row>
    <row r="236" spans="1:20" s="9" customFormat="1" ht="11.25" customHeight="1">
      <c r="A236" s="147" t="s">
        <v>105</v>
      </c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</row>
    <row r="237" spans="1:20" s="9" customFormat="1" ht="11.25" customHeight="1">
      <c r="A237" s="10" t="s">
        <v>69</v>
      </c>
      <c r="B237" s="5"/>
      <c r="C237" s="5"/>
      <c r="D237" s="8"/>
      <c r="E237" s="11"/>
      <c r="F237" s="7"/>
      <c r="G237" s="130" t="s">
        <v>70</v>
      </c>
      <c r="H237" s="130"/>
      <c r="I237" s="130"/>
      <c r="J237" s="6"/>
      <c r="K237" s="6"/>
      <c r="L237" s="131"/>
      <c r="M237" s="131"/>
      <c r="N237" s="132"/>
      <c r="O237" s="132"/>
      <c r="P237" s="132"/>
      <c r="Q237" s="132"/>
      <c r="R237" s="6"/>
      <c r="S237" s="6"/>
      <c r="T237" s="6"/>
    </row>
    <row r="238" spans="1:20" s="9" customFormat="1" ht="11.25" customHeight="1">
      <c r="A238" s="5"/>
      <c r="B238" s="5"/>
      <c r="C238" s="5"/>
      <c r="D238" s="149" t="s">
        <v>4</v>
      </c>
      <c r="E238" s="149"/>
      <c r="F238" s="149"/>
      <c r="G238" s="12">
        <v>2</v>
      </c>
      <c r="H238" s="6"/>
      <c r="I238" s="8"/>
      <c r="J238" s="8"/>
      <c r="K238" s="8"/>
      <c r="L238" s="149"/>
      <c r="M238" s="149"/>
      <c r="N238" s="130"/>
      <c r="O238" s="130"/>
      <c r="P238" s="130"/>
      <c r="Q238" s="130"/>
      <c r="R238" s="130"/>
      <c r="S238" s="130"/>
      <c r="T238" s="130"/>
    </row>
    <row r="239" spans="1:20" s="9" customFormat="1" ht="21.75" customHeight="1">
      <c r="A239" s="133" t="s">
        <v>54</v>
      </c>
      <c r="B239" s="133" t="s">
        <v>55</v>
      </c>
      <c r="C239" s="133"/>
      <c r="D239" s="133" t="s">
        <v>7</v>
      </c>
      <c r="E239" s="75"/>
      <c r="F239" s="133" t="s">
        <v>8</v>
      </c>
      <c r="G239" s="133"/>
      <c r="H239" s="133"/>
      <c r="I239" s="133" t="s">
        <v>9</v>
      </c>
      <c r="J239" s="133" t="s">
        <v>10</v>
      </c>
      <c r="K239" s="133"/>
      <c r="L239" s="133"/>
      <c r="M239" s="133"/>
      <c r="N239" s="133"/>
      <c r="O239" s="133" t="s">
        <v>11</v>
      </c>
      <c r="P239" s="133"/>
      <c r="Q239" s="133"/>
      <c r="R239" s="133"/>
      <c r="S239" s="133"/>
      <c r="T239" s="133"/>
    </row>
    <row r="240" spans="1:20" s="9" customFormat="1" ht="21" customHeight="1">
      <c r="A240" s="133"/>
      <c r="B240" s="133"/>
      <c r="C240" s="133"/>
      <c r="D240" s="133"/>
      <c r="E240" s="15"/>
      <c r="F240" s="16" t="s">
        <v>12</v>
      </c>
      <c r="G240" s="13" t="s">
        <v>13</v>
      </c>
      <c r="H240" s="13" t="s">
        <v>14</v>
      </c>
      <c r="I240" s="133"/>
      <c r="J240" s="13" t="s">
        <v>15</v>
      </c>
      <c r="K240" s="13" t="s">
        <v>16</v>
      </c>
      <c r="L240" s="13" t="s">
        <v>17</v>
      </c>
      <c r="M240" s="13" t="s">
        <v>18</v>
      </c>
      <c r="N240" s="13" t="s">
        <v>19</v>
      </c>
      <c r="O240" s="13" t="s">
        <v>20</v>
      </c>
      <c r="P240" s="13" t="s">
        <v>21</v>
      </c>
      <c r="Q240" s="13" t="s">
        <v>22</v>
      </c>
      <c r="R240" s="13" t="s">
        <v>23</v>
      </c>
      <c r="S240" s="13" t="s">
        <v>24</v>
      </c>
      <c r="T240" s="13" t="s">
        <v>25</v>
      </c>
    </row>
    <row r="241" spans="1:20" s="9" customFormat="1" ht="11.25" customHeight="1">
      <c r="A241" s="17">
        <v>1</v>
      </c>
      <c r="B241" s="142">
        <v>2</v>
      </c>
      <c r="C241" s="142"/>
      <c r="D241" s="18">
        <v>3</v>
      </c>
      <c r="E241" s="19"/>
      <c r="F241" s="18">
        <v>4</v>
      </c>
      <c r="G241" s="18">
        <v>5</v>
      </c>
      <c r="H241" s="18">
        <v>6</v>
      </c>
      <c r="I241" s="18">
        <v>7</v>
      </c>
      <c r="J241" s="18">
        <v>8</v>
      </c>
      <c r="K241" s="18">
        <v>9</v>
      </c>
      <c r="L241" s="18">
        <v>10</v>
      </c>
      <c r="M241" s="18">
        <v>11</v>
      </c>
      <c r="N241" s="18">
        <v>12</v>
      </c>
      <c r="O241" s="18">
        <v>13</v>
      </c>
      <c r="P241" s="18">
        <v>14</v>
      </c>
      <c r="Q241" s="18">
        <v>15</v>
      </c>
      <c r="R241" s="18">
        <v>16</v>
      </c>
      <c r="S241" s="18">
        <v>17</v>
      </c>
      <c r="T241" s="18">
        <v>18</v>
      </c>
    </row>
    <row r="242" spans="1:20" s="9" customFormat="1" ht="11.25" customHeight="1">
      <c r="A242" s="143" t="s">
        <v>26</v>
      </c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</row>
    <row r="243" spans="1:20" s="6" customFormat="1" ht="12.75" customHeight="1">
      <c r="A243" s="17" t="s">
        <v>30</v>
      </c>
      <c r="B243" s="127" t="s">
        <v>106</v>
      </c>
      <c r="C243" s="127"/>
      <c r="D243" s="24">
        <v>20</v>
      </c>
      <c r="E243" s="23">
        <v>6.6</v>
      </c>
      <c r="F243" s="23">
        <v>1.4</v>
      </c>
      <c r="G243" s="23">
        <v>1.7</v>
      </c>
      <c r="H243" s="23">
        <v>11.1</v>
      </c>
      <c r="I243" s="23">
        <v>65.6</v>
      </c>
      <c r="J243" s="23">
        <v>0.05</v>
      </c>
      <c r="K243" s="23">
        <v>0.04</v>
      </c>
      <c r="L243" s="23">
        <v>0.1</v>
      </c>
      <c r="M243" s="23">
        <v>0.005</v>
      </c>
      <c r="N243" s="23">
        <v>0.02</v>
      </c>
      <c r="O243" s="23">
        <v>30.7</v>
      </c>
      <c r="P243" s="23">
        <v>21.9</v>
      </c>
      <c r="Q243" s="23">
        <v>0.1</v>
      </c>
      <c r="R243" s="23">
        <v>0.001</v>
      </c>
      <c r="S243" s="23">
        <v>3.4</v>
      </c>
      <c r="T243" s="23">
        <v>0.02</v>
      </c>
    </row>
    <row r="244" spans="1:20" s="6" customFormat="1" ht="21" customHeight="1">
      <c r="A244" s="17">
        <v>222</v>
      </c>
      <c r="B244" s="76" t="s">
        <v>72</v>
      </c>
      <c r="C244" s="77"/>
      <c r="D244" s="24">
        <v>160</v>
      </c>
      <c r="E244" s="23">
        <v>43.93</v>
      </c>
      <c r="F244" s="28">
        <v>14.92</v>
      </c>
      <c r="G244" s="28">
        <v>14.38</v>
      </c>
      <c r="H244" s="28">
        <v>31.51</v>
      </c>
      <c r="I244" s="28">
        <v>315.14</v>
      </c>
      <c r="J244" s="28">
        <v>0.26</v>
      </c>
      <c r="K244" s="28">
        <v>0.408</v>
      </c>
      <c r="L244" s="28">
        <v>0.935</v>
      </c>
      <c r="M244" s="28">
        <v>0.213</v>
      </c>
      <c r="N244" s="28">
        <v>1.36</v>
      </c>
      <c r="O244" s="28">
        <v>215.96</v>
      </c>
      <c r="P244" s="28">
        <v>414.6</v>
      </c>
      <c r="Q244" s="28">
        <v>1.2</v>
      </c>
      <c r="R244" s="28">
        <v>0.02</v>
      </c>
      <c r="S244" s="28">
        <v>93.883</v>
      </c>
      <c r="T244" s="28">
        <v>2.533</v>
      </c>
    </row>
    <row r="245" spans="1:20" s="6" customFormat="1" ht="11.25" customHeight="1">
      <c r="A245" s="31">
        <v>377</v>
      </c>
      <c r="B245" s="134" t="s">
        <v>48</v>
      </c>
      <c r="C245" s="134"/>
      <c r="D245" s="50">
        <v>200</v>
      </c>
      <c r="E245" s="28">
        <v>3.3</v>
      </c>
      <c r="F245" s="109">
        <v>0.26</v>
      </c>
      <c r="G245" s="109">
        <v>0.06</v>
      </c>
      <c r="H245" s="109">
        <v>15.22</v>
      </c>
      <c r="I245" s="109">
        <v>62.46</v>
      </c>
      <c r="J245" s="109">
        <v>0</v>
      </c>
      <c r="K245" s="109">
        <v>0.01</v>
      </c>
      <c r="L245" s="109">
        <v>2.9</v>
      </c>
      <c r="M245" s="109">
        <v>0</v>
      </c>
      <c r="N245" s="109">
        <v>0.06</v>
      </c>
      <c r="O245" s="109">
        <v>8.05</v>
      </c>
      <c r="P245" s="109">
        <v>9.78</v>
      </c>
      <c r="Q245" s="109">
        <v>0.017</v>
      </c>
      <c r="R245" s="109">
        <v>0</v>
      </c>
      <c r="S245" s="109">
        <v>5.24</v>
      </c>
      <c r="T245" s="109">
        <v>0.87</v>
      </c>
    </row>
    <row r="246" spans="1:20" s="6" customFormat="1" ht="11.25" customHeight="1">
      <c r="A246" s="29" t="s">
        <v>30</v>
      </c>
      <c r="B246" s="127" t="s">
        <v>33</v>
      </c>
      <c r="C246" s="127"/>
      <c r="D246" s="24">
        <v>20</v>
      </c>
      <c r="E246" s="23">
        <v>13.46</v>
      </c>
      <c r="F246" s="30">
        <v>0.65</v>
      </c>
      <c r="G246" s="30">
        <v>3.8</v>
      </c>
      <c r="H246" s="30">
        <v>17.6</v>
      </c>
      <c r="I246" s="30">
        <v>38</v>
      </c>
      <c r="J246" s="30">
        <v>0.026</v>
      </c>
      <c r="K246" s="30">
        <v>0.03</v>
      </c>
      <c r="L246" s="30">
        <v>0.13</v>
      </c>
      <c r="M246" s="30">
        <v>11.96</v>
      </c>
      <c r="N246" s="30">
        <v>0.39</v>
      </c>
      <c r="O246" s="30">
        <v>24.18</v>
      </c>
      <c r="P246" s="30">
        <v>49.4</v>
      </c>
      <c r="Q246" s="30">
        <v>0.2</v>
      </c>
      <c r="R246" s="30">
        <v>0.002</v>
      </c>
      <c r="S246" s="30">
        <v>18.72</v>
      </c>
      <c r="T246" s="30">
        <v>0.182</v>
      </c>
    </row>
    <row r="247" spans="1:20" s="6" customFormat="1" ht="11.25" customHeight="1">
      <c r="A247" s="93" t="s">
        <v>34</v>
      </c>
      <c r="B247" s="79"/>
      <c r="C247" s="79"/>
      <c r="D247" s="34">
        <f>SUM(D243:D246)</f>
        <v>400</v>
      </c>
      <c r="E247" s="35">
        <f>SUM(E243:E246)</f>
        <v>67.28999999999999</v>
      </c>
      <c r="F247" s="36">
        <f>SUM(F243:F246)</f>
        <v>17.23</v>
      </c>
      <c r="G247" s="36">
        <f aca="true" t="shared" si="56" ref="G247:T247">SUM(G243:G246)</f>
        <v>19.94</v>
      </c>
      <c r="H247" s="36">
        <f t="shared" si="56"/>
        <v>75.43</v>
      </c>
      <c r="I247" s="36">
        <f t="shared" si="56"/>
        <v>481.2</v>
      </c>
      <c r="J247" s="36">
        <f t="shared" si="56"/>
        <v>0.336</v>
      </c>
      <c r="K247" s="36">
        <f t="shared" si="56"/>
        <v>0.488</v>
      </c>
      <c r="L247" s="36">
        <f t="shared" si="56"/>
        <v>4.065</v>
      </c>
      <c r="M247" s="36">
        <f t="shared" si="56"/>
        <v>12.178</v>
      </c>
      <c r="N247" s="36">
        <f t="shared" si="56"/>
        <v>1.83</v>
      </c>
      <c r="O247" s="36">
        <f t="shared" si="56"/>
        <v>278.89</v>
      </c>
      <c r="P247" s="36">
        <f t="shared" si="56"/>
        <v>495.67999999999995</v>
      </c>
      <c r="Q247" s="36">
        <f t="shared" si="56"/>
        <v>1.517</v>
      </c>
      <c r="R247" s="36">
        <f t="shared" si="56"/>
        <v>0.023</v>
      </c>
      <c r="S247" s="36">
        <f t="shared" si="56"/>
        <v>121.243</v>
      </c>
      <c r="T247" s="36">
        <f t="shared" si="56"/>
        <v>3.605</v>
      </c>
    </row>
    <row r="248" spans="1:20" s="6" customFormat="1" ht="11.25" customHeight="1">
      <c r="A248" s="148" t="s">
        <v>35</v>
      </c>
      <c r="B248" s="148"/>
      <c r="C248" s="148"/>
      <c r="D248" s="148"/>
      <c r="E248" s="69"/>
      <c r="F248" s="80">
        <f aca="true" t="shared" si="57" ref="F248:T248">F247/F265</f>
        <v>0.19144444444444444</v>
      </c>
      <c r="G248" s="59">
        <f t="shared" si="57"/>
        <v>0.21673913043478263</v>
      </c>
      <c r="H248" s="59">
        <f t="shared" si="57"/>
        <v>0.19694516971279374</v>
      </c>
      <c r="I248" s="59">
        <f t="shared" si="57"/>
        <v>0.17691176470588235</v>
      </c>
      <c r="J248" s="59">
        <f t="shared" si="57"/>
        <v>0.24000000000000002</v>
      </c>
      <c r="K248" s="59">
        <f t="shared" si="57"/>
        <v>0.305</v>
      </c>
      <c r="L248" s="59">
        <f t="shared" si="57"/>
        <v>0.05807142857142858</v>
      </c>
      <c r="M248" s="59">
        <f t="shared" si="57"/>
        <v>13.531111111111112</v>
      </c>
      <c r="N248" s="59">
        <f t="shared" si="57"/>
        <v>0.1525</v>
      </c>
      <c r="O248" s="59">
        <f t="shared" si="57"/>
        <v>0.23240833333333333</v>
      </c>
      <c r="P248" s="59">
        <f t="shared" si="57"/>
        <v>0.41306666666666664</v>
      </c>
      <c r="Q248" s="59">
        <f t="shared" si="57"/>
        <v>0.10835714285714285</v>
      </c>
      <c r="R248" s="59">
        <f t="shared" si="57"/>
        <v>0.22999999999999998</v>
      </c>
      <c r="S248" s="59">
        <f t="shared" si="57"/>
        <v>0.4041433333333333</v>
      </c>
      <c r="T248" s="59">
        <f t="shared" si="57"/>
        <v>0.20027777777777778</v>
      </c>
    </row>
    <row r="249" spans="1:20" s="6" customFormat="1" ht="11.25" customHeight="1">
      <c r="A249" s="162" t="s">
        <v>36</v>
      </c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</row>
    <row r="250" spans="1:20" s="6" customFormat="1" ht="21" customHeight="1">
      <c r="A250" s="46" t="s">
        <v>37</v>
      </c>
      <c r="B250" s="134" t="s">
        <v>38</v>
      </c>
      <c r="C250" s="134"/>
      <c r="D250" s="47">
        <v>60</v>
      </c>
      <c r="E250" s="48">
        <v>2.82</v>
      </c>
      <c r="F250" s="48">
        <v>0.9</v>
      </c>
      <c r="G250" s="48">
        <v>1.31</v>
      </c>
      <c r="H250" s="48">
        <v>5.6</v>
      </c>
      <c r="I250" s="48">
        <v>37.79</v>
      </c>
      <c r="J250" s="48">
        <v>0.06</v>
      </c>
      <c r="K250" s="48">
        <v>0.07</v>
      </c>
      <c r="L250" s="48">
        <v>15.5</v>
      </c>
      <c r="M250" s="48">
        <v>0.071</v>
      </c>
      <c r="N250" s="48">
        <v>0.3</v>
      </c>
      <c r="O250" s="48">
        <v>28.2</v>
      </c>
      <c r="P250" s="48">
        <v>18.9</v>
      </c>
      <c r="Q250" s="48">
        <v>0.2</v>
      </c>
      <c r="R250" s="48">
        <v>0.001</v>
      </c>
      <c r="S250" s="48">
        <v>10.5</v>
      </c>
      <c r="T250" s="48">
        <v>0.6</v>
      </c>
    </row>
    <row r="251" spans="1:20" s="6" customFormat="1" ht="11.25" customHeight="1">
      <c r="A251" s="29">
        <v>204</v>
      </c>
      <c r="B251" s="127" t="s">
        <v>107</v>
      </c>
      <c r="C251" s="127"/>
      <c r="D251" s="25">
        <v>250</v>
      </c>
      <c r="E251" s="23">
        <v>8.24</v>
      </c>
      <c r="F251" s="28">
        <v>3.15</v>
      </c>
      <c r="G251" s="28">
        <v>3.55</v>
      </c>
      <c r="H251" s="28">
        <v>20.8375</v>
      </c>
      <c r="I251" s="28">
        <v>104.5</v>
      </c>
      <c r="J251" s="28">
        <v>0.0875</v>
      </c>
      <c r="K251" s="28">
        <v>0.075</v>
      </c>
      <c r="L251" s="28">
        <v>11.3125</v>
      </c>
      <c r="M251" s="28">
        <v>0.05875</v>
      </c>
      <c r="N251" s="28">
        <v>0.875</v>
      </c>
      <c r="O251" s="28">
        <v>25.7375</v>
      </c>
      <c r="P251" s="28">
        <v>60.2375</v>
      </c>
      <c r="Q251" s="28">
        <v>0.25</v>
      </c>
      <c r="R251" s="28">
        <v>0.00125</v>
      </c>
      <c r="S251" s="28">
        <v>18.2</v>
      </c>
      <c r="T251" s="28">
        <v>0.925</v>
      </c>
    </row>
    <row r="252" spans="1:20" s="6" customFormat="1" ht="13.5" customHeight="1">
      <c r="A252" s="17">
        <v>259</v>
      </c>
      <c r="B252" s="127" t="s">
        <v>108</v>
      </c>
      <c r="C252" s="127"/>
      <c r="D252" s="24">
        <v>200</v>
      </c>
      <c r="E252" s="23">
        <v>32.36</v>
      </c>
      <c r="F252" s="23">
        <v>14.27</v>
      </c>
      <c r="G252" s="23">
        <v>15.01</v>
      </c>
      <c r="H252" s="23">
        <v>25.51</v>
      </c>
      <c r="I252" s="23">
        <v>294.21</v>
      </c>
      <c r="J252" s="23">
        <v>0.22</v>
      </c>
      <c r="K252" s="23">
        <v>0.2</v>
      </c>
      <c r="L252" s="23">
        <v>31.3</v>
      </c>
      <c r="M252" s="23">
        <v>0.082</v>
      </c>
      <c r="N252" s="23">
        <v>0.49</v>
      </c>
      <c r="O252" s="23">
        <v>42.2</v>
      </c>
      <c r="P252" s="23">
        <v>218.2</v>
      </c>
      <c r="Q252" s="23">
        <v>4.2</v>
      </c>
      <c r="R252" s="23">
        <v>0.002</v>
      </c>
      <c r="S252" s="23">
        <v>55.87</v>
      </c>
      <c r="T252" s="23">
        <v>3.32</v>
      </c>
    </row>
    <row r="253" spans="1:20" s="6" customFormat="1" ht="30" customHeight="1">
      <c r="A253" s="29">
        <v>349</v>
      </c>
      <c r="B253" s="127" t="s">
        <v>42</v>
      </c>
      <c r="C253" s="127"/>
      <c r="D253" s="24">
        <v>200</v>
      </c>
      <c r="E253" s="23">
        <v>5.76</v>
      </c>
      <c r="F253" s="28">
        <v>0.2</v>
      </c>
      <c r="G253" s="28">
        <v>0</v>
      </c>
      <c r="H253" s="28">
        <v>24.42</v>
      </c>
      <c r="I253" s="28">
        <v>98.56</v>
      </c>
      <c r="J253" s="28">
        <v>0</v>
      </c>
      <c r="K253" s="28">
        <v>0</v>
      </c>
      <c r="L253" s="28">
        <v>26.11</v>
      </c>
      <c r="M253" s="28">
        <v>0</v>
      </c>
      <c r="N253" s="28">
        <v>0</v>
      </c>
      <c r="O253" s="28">
        <v>6.4</v>
      </c>
      <c r="P253" s="28">
        <v>3.6</v>
      </c>
      <c r="Q253" s="28">
        <v>0</v>
      </c>
      <c r="R253" s="28">
        <v>0</v>
      </c>
      <c r="S253" s="28">
        <v>0</v>
      </c>
      <c r="T253" s="28">
        <v>0.18</v>
      </c>
    </row>
    <row r="254" spans="1:20" s="6" customFormat="1" ht="11.25" customHeight="1">
      <c r="A254" s="51" t="s">
        <v>30</v>
      </c>
      <c r="B254" s="127" t="s">
        <v>43</v>
      </c>
      <c r="C254" s="127"/>
      <c r="D254" s="24">
        <v>50</v>
      </c>
      <c r="E254" s="23">
        <v>2.35</v>
      </c>
      <c r="F254" s="23">
        <f>2.64*D254/40</f>
        <v>3.3</v>
      </c>
      <c r="G254" s="23">
        <f>0.48*D254/40</f>
        <v>0.6</v>
      </c>
      <c r="H254" s="23">
        <f>13.68*D254/40</f>
        <v>17.1</v>
      </c>
      <c r="I254" s="23">
        <f>F254*4+G254*9+H254*4</f>
        <v>87</v>
      </c>
      <c r="J254" s="23">
        <f>0.08*D254/40</f>
        <v>0.1</v>
      </c>
      <c r="K254" s="23">
        <f>0.04*D254/40</f>
        <v>0.05</v>
      </c>
      <c r="L254" s="23">
        <v>0</v>
      </c>
      <c r="M254" s="23">
        <v>0</v>
      </c>
      <c r="N254" s="23">
        <f>2.4*D254/40</f>
        <v>3</v>
      </c>
      <c r="O254" s="23">
        <f>14*D254/40</f>
        <v>17.5</v>
      </c>
      <c r="P254" s="23">
        <f>63.2*D254/40</f>
        <v>79</v>
      </c>
      <c r="Q254" s="23">
        <f>1.2*D254/40</f>
        <v>1.5</v>
      </c>
      <c r="R254" s="23">
        <f>0.001*D254/40</f>
        <v>0.00125</v>
      </c>
      <c r="S254" s="23">
        <f>9.4*D254/40</f>
        <v>11.75</v>
      </c>
      <c r="T254" s="23">
        <f>0.78*D254/40</f>
        <v>0.975</v>
      </c>
    </row>
    <row r="255" spans="1:20" s="6" customFormat="1" ht="11.25" customHeight="1">
      <c r="A255" s="26" t="s">
        <v>30</v>
      </c>
      <c r="B255" s="140" t="s">
        <v>90</v>
      </c>
      <c r="C255" s="140"/>
      <c r="D255" s="27" t="s">
        <v>91</v>
      </c>
      <c r="E255" s="28">
        <v>31</v>
      </c>
      <c r="F255" s="28">
        <v>1</v>
      </c>
      <c r="G255" s="28">
        <v>0.2</v>
      </c>
      <c r="H255" s="28">
        <v>20.2</v>
      </c>
      <c r="I255" s="28">
        <v>86.6</v>
      </c>
      <c r="J255" s="28">
        <v>0.02</v>
      </c>
      <c r="K255" s="28">
        <v>0.02</v>
      </c>
      <c r="L255" s="28">
        <v>4.8</v>
      </c>
      <c r="M255" s="28">
        <v>0</v>
      </c>
      <c r="N255" s="28">
        <v>0</v>
      </c>
      <c r="O255" s="28">
        <v>14</v>
      </c>
      <c r="P255" s="28">
        <v>18</v>
      </c>
      <c r="Q255" s="28">
        <v>0.03</v>
      </c>
      <c r="R255" s="28">
        <v>0</v>
      </c>
      <c r="S255" s="28">
        <v>8</v>
      </c>
      <c r="T255" s="28">
        <v>0.72</v>
      </c>
    </row>
    <row r="256" spans="1:20" s="6" customFormat="1" ht="11.25" customHeight="1">
      <c r="A256" s="66" t="s">
        <v>30</v>
      </c>
      <c r="B256" s="165" t="s">
        <v>33</v>
      </c>
      <c r="C256" s="165"/>
      <c r="D256" s="95">
        <v>15</v>
      </c>
      <c r="E256" s="96">
        <v>7.47</v>
      </c>
      <c r="F256" s="30">
        <v>0.65</v>
      </c>
      <c r="G256" s="30">
        <v>3.8</v>
      </c>
      <c r="H256" s="30">
        <v>17.6</v>
      </c>
      <c r="I256" s="30">
        <v>38</v>
      </c>
      <c r="J256" s="30">
        <v>0.026</v>
      </c>
      <c r="K256" s="30">
        <v>0.03</v>
      </c>
      <c r="L256" s="30">
        <v>0.13</v>
      </c>
      <c r="M256" s="30">
        <v>11.96</v>
      </c>
      <c r="N256" s="30">
        <v>0.39</v>
      </c>
      <c r="O256" s="30">
        <v>24.18</v>
      </c>
      <c r="P256" s="30">
        <v>49.4</v>
      </c>
      <c r="Q256" s="30">
        <v>0.2</v>
      </c>
      <c r="R256" s="30">
        <v>0.002</v>
      </c>
      <c r="S256" s="30">
        <v>18.72</v>
      </c>
      <c r="T256" s="30">
        <v>0.182</v>
      </c>
    </row>
    <row r="257" spans="1:20" s="6" customFormat="1" ht="11.25" customHeight="1">
      <c r="A257" s="54" t="s">
        <v>45</v>
      </c>
      <c r="B257" s="55"/>
      <c r="C257" s="55"/>
      <c r="D257" s="97">
        <f>SUM(D250:D256)</f>
        <v>775</v>
      </c>
      <c r="E257" s="98">
        <f>SUM(E250:E256)</f>
        <v>90</v>
      </c>
      <c r="F257" s="36">
        <f>SUM(F250:F256)</f>
        <v>23.47</v>
      </c>
      <c r="G257" s="36">
        <f aca="true" t="shared" si="58" ref="G257:T257">SUM(G250:G256)</f>
        <v>24.47</v>
      </c>
      <c r="H257" s="36">
        <f t="shared" si="58"/>
        <v>131.2675</v>
      </c>
      <c r="I257" s="36">
        <f t="shared" si="58"/>
        <v>746.66</v>
      </c>
      <c r="J257" s="36">
        <f t="shared" si="58"/>
        <v>0.5135000000000001</v>
      </c>
      <c r="K257" s="36">
        <f t="shared" si="58"/>
        <v>0.44500000000000006</v>
      </c>
      <c r="L257" s="36">
        <f t="shared" si="58"/>
        <v>89.15249999999999</v>
      </c>
      <c r="M257" s="36">
        <f t="shared" si="58"/>
        <v>12.171750000000001</v>
      </c>
      <c r="N257" s="36">
        <f t="shared" si="58"/>
        <v>5.055</v>
      </c>
      <c r="O257" s="36">
        <f t="shared" si="58"/>
        <v>158.21750000000003</v>
      </c>
      <c r="P257" s="36">
        <f t="shared" si="58"/>
        <v>447.3375</v>
      </c>
      <c r="Q257" s="36">
        <f t="shared" si="58"/>
        <v>6.380000000000001</v>
      </c>
      <c r="R257" s="36">
        <f t="shared" si="58"/>
        <v>0.007500000000000001</v>
      </c>
      <c r="S257" s="36">
        <f t="shared" si="58"/>
        <v>123.03999999999999</v>
      </c>
      <c r="T257" s="36">
        <f t="shared" si="58"/>
        <v>6.901999999999999</v>
      </c>
    </row>
    <row r="258" spans="1:20" s="6" customFormat="1" ht="11.25" customHeight="1">
      <c r="A258" s="148" t="s">
        <v>35</v>
      </c>
      <c r="B258" s="148"/>
      <c r="C258" s="148"/>
      <c r="D258" s="148"/>
      <c r="E258" s="69"/>
      <c r="F258" s="80">
        <f aca="true" t="shared" si="59" ref="F258:T258">F257/F265</f>
        <v>0.2607777777777778</v>
      </c>
      <c r="G258" s="59">
        <f t="shared" si="59"/>
        <v>0.2659782608695652</v>
      </c>
      <c r="H258" s="59">
        <f t="shared" si="59"/>
        <v>0.34273498694516974</v>
      </c>
      <c r="I258" s="59">
        <f t="shared" si="59"/>
        <v>0.27450735294117645</v>
      </c>
      <c r="J258" s="59">
        <f t="shared" si="59"/>
        <v>0.3667857142857144</v>
      </c>
      <c r="K258" s="59">
        <f t="shared" si="59"/>
        <v>0.278125</v>
      </c>
      <c r="L258" s="59">
        <f t="shared" si="59"/>
        <v>1.2736071428571427</v>
      </c>
      <c r="M258" s="59">
        <f t="shared" si="59"/>
        <v>13.524166666666668</v>
      </c>
      <c r="N258" s="59">
        <f t="shared" si="59"/>
        <v>0.42124999999999996</v>
      </c>
      <c r="O258" s="59">
        <f t="shared" si="59"/>
        <v>0.1318479166666667</v>
      </c>
      <c r="P258" s="59">
        <f t="shared" si="59"/>
        <v>0.37278125</v>
      </c>
      <c r="Q258" s="59">
        <f t="shared" si="59"/>
        <v>0.4557142857142858</v>
      </c>
      <c r="R258" s="59">
        <f t="shared" si="59"/>
        <v>0.075</v>
      </c>
      <c r="S258" s="59">
        <f t="shared" si="59"/>
        <v>0.4101333333333333</v>
      </c>
      <c r="T258" s="59">
        <f t="shared" si="59"/>
        <v>0.3834444444444444</v>
      </c>
    </row>
    <row r="259" spans="1:20" s="6" customFormat="1" ht="11.25" customHeight="1">
      <c r="A259" s="143" t="s">
        <v>46</v>
      </c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</row>
    <row r="260" spans="1:20" s="6" customFormat="1" ht="11.25" customHeight="1">
      <c r="A260" s="17"/>
      <c r="B260" s="127" t="s">
        <v>109</v>
      </c>
      <c r="C260" s="127"/>
      <c r="D260" s="24">
        <v>90</v>
      </c>
      <c r="E260" s="23">
        <v>16.19</v>
      </c>
      <c r="F260" s="23">
        <v>11</v>
      </c>
      <c r="G260" s="53">
        <v>9.5</v>
      </c>
      <c r="H260" s="53">
        <v>31.5</v>
      </c>
      <c r="I260" s="23">
        <f>F260*4+G260*9+H260*4</f>
        <v>255.5</v>
      </c>
      <c r="J260" s="23">
        <v>0.1</v>
      </c>
      <c r="K260" s="23">
        <v>0.3</v>
      </c>
      <c r="L260" s="23">
        <v>0.6</v>
      </c>
      <c r="M260" s="23">
        <v>0.13</v>
      </c>
      <c r="N260" s="23">
        <v>1.8</v>
      </c>
      <c r="O260" s="23">
        <v>18.6</v>
      </c>
      <c r="P260" s="23">
        <v>113.8</v>
      </c>
      <c r="Q260" s="23">
        <v>1.63</v>
      </c>
      <c r="R260" s="23">
        <v>0.01</v>
      </c>
      <c r="S260" s="23">
        <v>17.4</v>
      </c>
      <c r="T260" s="23">
        <v>0.6</v>
      </c>
    </row>
    <row r="261" spans="1:20" s="6" customFormat="1" ht="12" customHeight="1">
      <c r="A261" s="17">
        <v>379</v>
      </c>
      <c r="B261" s="127" t="s">
        <v>66</v>
      </c>
      <c r="C261" s="127"/>
      <c r="D261" s="24">
        <v>200</v>
      </c>
      <c r="E261" s="23">
        <v>13.81</v>
      </c>
      <c r="F261" s="23">
        <v>3.17</v>
      </c>
      <c r="G261" s="23">
        <v>2.68</v>
      </c>
      <c r="H261" s="23">
        <v>15.95</v>
      </c>
      <c r="I261" s="23">
        <f>F261*4+G261*9+H261*4</f>
        <v>100.6</v>
      </c>
      <c r="J261" s="25">
        <v>0.04</v>
      </c>
      <c r="K261" s="25">
        <v>0.15</v>
      </c>
      <c r="L261" s="53">
        <v>1.3</v>
      </c>
      <c r="M261" s="25">
        <v>0.03</v>
      </c>
      <c r="N261" s="25">
        <v>0.06</v>
      </c>
      <c r="O261" s="53">
        <v>120.4</v>
      </c>
      <c r="P261" s="53">
        <v>90</v>
      </c>
      <c r="Q261" s="53">
        <v>1.1</v>
      </c>
      <c r="R261" s="53">
        <v>0.01</v>
      </c>
      <c r="S261" s="53">
        <v>14</v>
      </c>
      <c r="T261" s="23">
        <v>0.12</v>
      </c>
    </row>
    <row r="262" spans="1:20" s="9" customFormat="1" ht="11.25" customHeight="1">
      <c r="A262" s="54" t="s">
        <v>49</v>
      </c>
      <c r="B262" s="55"/>
      <c r="C262" s="55"/>
      <c r="D262" s="34">
        <f>SUM(D260:D261)</f>
        <v>290</v>
      </c>
      <c r="E262" s="35">
        <f>SUM(E260:E261)</f>
        <v>30</v>
      </c>
      <c r="F262" s="36">
        <f>SUM(F260:F261)</f>
        <v>14.17</v>
      </c>
      <c r="G262" s="36">
        <f aca="true" t="shared" si="60" ref="G262:T262">SUM(G260:G261)</f>
        <v>12.18</v>
      </c>
      <c r="H262" s="36">
        <f t="shared" si="60"/>
        <v>47.45</v>
      </c>
      <c r="I262" s="36">
        <f t="shared" si="60"/>
        <v>356.1</v>
      </c>
      <c r="J262" s="36">
        <f t="shared" si="60"/>
        <v>0.14</v>
      </c>
      <c r="K262" s="36">
        <f t="shared" si="60"/>
        <v>0.44999999999999996</v>
      </c>
      <c r="L262" s="36">
        <f t="shared" si="60"/>
        <v>1.9</v>
      </c>
      <c r="M262" s="36">
        <f t="shared" si="60"/>
        <v>0.16</v>
      </c>
      <c r="N262" s="36">
        <f t="shared" si="60"/>
        <v>1.86</v>
      </c>
      <c r="O262" s="36">
        <f t="shared" si="60"/>
        <v>139</v>
      </c>
      <c r="P262" s="36">
        <f t="shared" si="60"/>
        <v>203.8</v>
      </c>
      <c r="Q262" s="36">
        <f t="shared" si="60"/>
        <v>2.73</v>
      </c>
      <c r="R262" s="36">
        <f t="shared" si="60"/>
        <v>0.02</v>
      </c>
      <c r="S262" s="36">
        <f t="shared" si="60"/>
        <v>31.4</v>
      </c>
      <c r="T262" s="36">
        <f t="shared" si="60"/>
        <v>0.72</v>
      </c>
    </row>
    <row r="263" spans="1:20" s="9" customFormat="1" ht="11.25" customHeight="1">
      <c r="A263" s="148" t="s">
        <v>35</v>
      </c>
      <c r="B263" s="148"/>
      <c r="C263" s="148"/>
      <c r="D263" s="148"/>
      <c r="E263" s="39"/>
      <c r="F263" s="58">
        <f aca="true" t="shared" si="61" ref="F263:T263">F262/F265</f>
        <v>0.15744444444444444</v>
      </c>
      <c r="G263" s="59">
        <f t="shared" si="61"/>
        <v>0.1323913043478261</v>
      </c>
      <c r="H263" s="59">
        <f t="shared" si="61"/>
        <v>0.12389033942558747</v>
      </c>
      <c r="I263" s="59">
        <f t="shared" si="61"/>
        <v>0.13091911764705882</v>
      </c>
      <c r="J263" s="59">
        <f t="shared" si="61"/>
        <v>0.10000000000000002</v>
      </c>
      <c r="K263" s="59">
        <f t="shared" si="61"/>
        <v>0.28124999999999994</v>
      </c>
      <c r="L263" s="59">
        <f t="shared" si="61"/>
        <v>0.027142857142857142</v>
      </c>
      <c r="M263" s="59">
        <f t="shared" si="61"/>
        <v>0.17777777777777778</v>
      </c>
      <c r="N263" s="59">
        <f t="shared" si="61"/>
        <v>0.155</v>
      </c>
      <c r="O263" s="59">
        <f t="shared" si="61"/>
        <v>0.11583333333333333</v>
      </c>
      <c r="P263" s="59">
        <f t="shared" si="61"/>
        <v>0.16983333333333334</v>
      </c>
      <c r="Q263" s="59">
        <f t="shared" si="61"/>
        <v>0.195</v>
      </c>
      <c r="R263" s="59">
        <f t="shared" si="61"/>
        <v>0.19999999999999998</v>
      </c>
      <c r="S263" s="59">
        <f t="shared" si="61"/>
        <v>0.10466666666666666</v>
      </c>
      <c r="T263" s="59">
        <f t="shared" si="61"/>
        <v>0.04</v>
      </c>
    </row>
    <row r="264" spans="1:20" s="9" customFormat="1" ht="11.25" customHeight="1">
      <c r="A264" s="138" t="s">
        <v>50</v>
      </c>
      <c r="B264" s="138"/>
      <c r="C264" s="138"/>
      <c r="D264" s="138"/>
      <c r="E264" s="39"/>
      <c r="F264" s="36">
        <f aca="true" t="shared" si="62" ref="F264:T264">SUM(F247,F257,F262)</f>
        <v>54.870000000000005</v>
      </c>
      <c r="G264" s="37">
        <f t="shared" si="62"/>
        <v>56.589999999999996</v>
      </c>
      <c r="H264" s="37">
        <f t="shared" si="62"/>
        <v>254.14750000000004</v>
      </c>
      <c r="I264" s="37">
        <f t="shared" si="62"/>
        <v>1583.96</v>
      </c>
      <c r="J264" s="36">
        <f t="shared" si="62"/>
        <v>0.9895000000000002</v>
      </c>
      <c r="K264" s="36">
        <f t="shared" si="62"/>
        <v>1.383</v>
      </c>
      <c r="L264" s="37">
        <f t="shared" si="62"/>
        <v>95.11749999999999</v>
      </c>
      <c r="M264" s="36">
        <f t="shared" si="62"/>
        <v>24.50975</v>
      </c>
      <c r="N264" s="36">
        <f t="shared" si="62"/>
        <v>8.745</v>
      </c>
      <c r="O264" s="37">
        <f t="shared" si="62"/>
        <v>576.1075000000001</v>
      </c>
      <c r="P264" s="37">
        <f t="shared" si="62"/>
        <v>1146.8174999999999</v>
      </c>
      <c r="Q264" s="36">
        <f t="shared" si="62"/>
        <v>10.627</v>
      </c>
      <c r="R264" s="38">
        <f t="shared" si="62"/>
        <v>0.0505</v>
      </c>
      <c r="S264" s="36">
        <f t="shared" si="62"/>
        <v>275.683</v>
      </c>
      <c r="T264" s="36">
        <f t="shared" si="62"/>
        <v>11.227</v>
      </c>
    </row>
    <row r="265" spans="1:20" s="9" customFormat="1" ht="11.25" customHeight="1">
      <c r="A265" s="138" t="s">
        <v>51</v>
      </c>
      <c r="B265" s="138"/>
      <c r="C265" s="138"/>
      <c r="D265" s="138"/>
      <c r="E265" s="39"/>
      <c r="F265" s="23">
        <v>90</v>
      </c>
      <c r="G265" s="53">
        <v>92</v>
      </c>
      <c r="H265" s="53">
        <v>383</v>
      </c>
      <c r="I265" s="53">
        <v>2720</v>
      </c>
      <c r="J265" s="23">
        <v>1.4</v>
      </c>
      <c r="K265" s="23">
        <v>1.6</v>
      </c>
      <c r="L265" s="24">
        <v>70</v>
      </c>
      <c r="M265" s="23">
        <v>0.9</v>
      </c>
      <c r="N265" s="24">
        <v>12</v>
      </c>
      <c r="O265" s="24">
        <v>1200</v>
      </c>
      <c r="P265" s="24">
        <v>1200</v>
      </c>
      <c r="Q265" s="24">
        <v>14</v>
      </c>
      <c r="R265" s="53">
        <v>0.1</v>
      </c>
      <c r="S265" s="24">
        <v>300</v>
      </c>
      <c r="T265" s="23">
        <v>18</v>
      </c>
    </row>
    <row r="266" spans="1:20" s="9" customFormat="1" ht="11.25" customHeight="1">
      <c r="A266" s="148" t="s">
        <v>35</v>
      </c>
      <c r="B266" s="148"/>
      <c r="C266" s="148"/>
      <c r="D266" s="148"/>
      <c r="E266" s="39"/>
      <c r="F266" s="58">
        <f aca="true" t="shared" si="63" ref="F266:T266">F264/F265</f>
        <v>0.6096666666666667</v>
      </c>
      <c r="G266" s="59">
        <f t="shared" si="63"/>
        <v>0.6151086956521739</v>
      </c>
      <c r="H266" s="59">
        <f t="shared" si="63"/>
        <v>0.663570496083551</v>
      </c>
      <c r="I266" s="59">
        <f t="shared" si="63"/>
        <v>0.5823382352941177</v>
      </c>
      <c r="J266" s="59">
        <f t="shared" si="63"/>
        <v>0.7067857142857145</v>
      </c>
      <c r="K266" s="59">
        <f t="shared" si="63"/>
        <v>0.864375</v>
      </c>
      <c r="L266" s="59">
        <f t="shared" si="63"/>
        <v>1.3588214285714284</v>
      </c>
      <c r="M266" s="60">
        <f t="shared" si="63"/>
        <v>27.233055555555556</v>
      </c>
      <c r="N266" s="59">
        <f t="shared" si="63"/>
        <v>0.7287499999999999</v>
      </c>
      <c r="O266" s="59">
        <f t="shared" si="63"/>
        <v>0.4800895833333334</v>
      </c>
      <c r="P266" s="59">
        <f t="shared" si="63"/>
        <v>0.9556812499999999</v>
      </c>
      <c r="Q266" s="59">
        <f t="shared" si="63"/>
        <v>0.7590714285714286</v>
      </c>
      <c r="R266" s="60">
        <f t="shared" si="63"/>
        <v>0.505</v>
      </c>
      <c r="S266" s="59">
        <f t="shared" si="63"/>
        <v>0.9189433333333333</v>
      </c>
      <c r="T266" s="60">
        <f t="shared" si="63"/>
        <v>0.6237222222222223</v>
      </c>
    </row>
    <row r="267" spans="1:20" s="9" customFormat="1" ht="11.25" customHeight="1">
      <c r="A267" s="5" t="s">
        <v>67</v>
      </c>
      <c r="B267" s="5"/>
      <c r="C267" s="61"/>
      <c r="D267" s="61"/>
      <c r="E267" s="62"/>
      <c r="F267" s="11"/>
      <c r="G267" s="6"/>
      <c r="H267" s="8"/>
      <c r="I267" s="8"/>
      <c r="J267" s="6"/>
      <c r="K267" s="6"/>
      <c r="L267" s="6"/>
      <c r="M267" s="128" t="s">
        <v>0</v>
      </c>
      <c r="N267" s="128"/>
      <c r="O267" s="128"/>
      <c r="P267" s="128"/>
      <c r="Q267" s="128"/>
      <c r="R267" s="128"/>
      <c r="S267" s="128"/>
      <c r="T267" s="128"/>
    </row>
    <row r="268" spans="1:20" s="9" customFormat="1" ht="11.25" customHeight="1">
      <c r="A268" s="5"/>
      <c r="B268" s="5"/>
      <c r="C268" s="61"/>
      <c r="D268" s="61"/>
      <c r="E268" s="62"/>
      <c r="F268" s="11"/>
      <c r="G268" s="6"/>
      <c r="H268" s="8"/>
      <c r="I268" s="8"/>
      <c r="J268" s="6"/>
      <c r="K268" s="6"/>
      <c r="L268" s="6"/>
      <c r="M268" s="74"/>
      <c r="N268" s="74"/>
      <c r="O268" s="74"/>
      <c r="P268" s="74"/>
      <c r="Q268" s="74"/>
      <c r="R268" s="74"/>
      <c r="S268" s="74"/>
      <c r="T268" s="74"/>
    </row>
    <row r="269" spans="1:20" s="9" customFormat="1" ht="11.25" customHeight="1">
      <c r="A269" s="147" t="s">
        <v>110</v>
      </c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</row>
    <row r="270" spans="1:20" s="9" customFormat="1" ht="11.25" customHeight="1">
      <c r="A270" s="10" t="s">
        <v>2</v>
      </c>
      <c r="B270" s="5"/>
      <c r="C270" s="5"/>
      <c r="D270" s="8"/>
      <c r="E270" s="11"/>
      <c r="F270" s="7"/>
      <c r="G270" s="130" t="s">
        <v>80</v>
      </c>
      <c r="H270" s="130"/>
      <c r="I270" s="130"/>
      <c r="J270" s="6"/>
      <c r="K270" s="6"/>
      <c r="L270" s="131"/>
      <c r="M270" s="131"/>
      <c r="N270" s="132"/>
      <c r="O270" s="132"/>
      <c r="P270" s="132"/>
      <c r="Q270" s="132"/>
      <c r="R270" s="6"/>
      <c r="S270" s="6"/>
      <c r="T270" s="6"/>
    </row>
    <row r="271" spans="1:20" s="9" customFormat="1" ht="11.25" customHeight="1">
      <c r="A271" s="5"/>
      <c r="B271" s="5"/>
      <c r="C271" s="5"/>
      <c r="D271" s="149" t="s">
        <v>4</v>
      </c>
      <c r="E271" s="149"/>
      <c r="F271" s="149"/>
      <c r="G271" s="12">
        <v>2</v>
      </c>
      <c r="H271" s="6"/>
      <c r="I271" s="8"/>
      <c r="J271" s="8"/>
      <c r="K271" s="8"/>
      <c r="L271" s="149"/>
      <c r="M271" s="149"/>
      <c r="N271" s="130"/>
      <c r="O271" s="130"/>
      <c r="P271" s="130"/>
      <c r="Q271" s="130"/>
      <c r="R271" s="130"/>
      <c r="S271" s="130"/>
      <c r="T271" s="130"/>
    </row>
    <row r="272" spans="1:20" s="9" customFormat="1" ht="21.75" customHeight="1">
      <c r="A272" s="133" t="s">
        <v>54</v>
      </c>
      <c r="B272" s="133" t="s">
        <v>55</v>
      </c>
      <c r="C272" s="133"/>
      <c r="D272" s="133" t="s">
        <v>7</v>
      </c>
      <c r="E272" s="75"/>
      <c r="F272" s="133" t="s">
        <v>8</v>
      </c>
      <c r="G272" s="133"/>
      <c r="H272" s="133"/>
      <c r="I272" s="133" t="s">
        <v>9</v>
      </c>
      <c r="J272" s="133" t="s">
        <v>10</v>
      </c>
      <c r="K272" s="133"/>
      <c r="L272" s="133"/>
      <c r="M272" s="133"/>
      <c r="N272" s="133"/>
      <c r="O272" s="133" t="s">
        <v>11</v>
      </c>
      <c r="P272" s="133"/>
      <c r="Q272" s="133"/>
      <c r="R272" s="133"/>
      <c r="S272" s="133"/>
      <c r="T272" s="133"/>
    </row>
    <row r="273" spans="1:20" s="9" customFormat="1" ht="21" customHeight="1">
      <c r="A273" s="133"/>
      <c r="B273" s="133"/>
      <c r="C273" s="133"/>
      <c r="D273" s="133"/>
      <c r="E273" s="15"/>
      <c r="F273" s="16" t="s">
        <v>12</v>
      </c>
      <c r="G273" s="13" t="s">
        <v>13</v>
      </c>
      <c r="H273" s="13" t="s">
        <v>14</v>
      </c>
      <c r="I273" s="133"/>
      <c r="J273" s="13" t="s">
        <v>15</v>
      </c>
      <c r="K273" s="13" t="s">
        <v>16</v>
      </c>
      <c r="L273" s="13" t="s">
        <v>17</v>
      </c>
      <c r="M273" s="13" t="s">
        <v>18</v>
      </c>
      <c r="N273" s="13" t="s">
        <v>19</v>
      </c>
      <c r="O273" s="13" t="s">
        <v>20</v>
      </c>
      <c r="P273" s="13" t="s">
        <v>21</v>
      </c>
      <c r="Q273" s="13" t="s">
        <v>22</v>
      </c>
      <c r="R273" s="13" t="s">
        <v>111</v>
      </c>
      <c r="S273" s="13" t="s">
        <v>24</v>
      </c>
      <c r="T273" s="13" t="s">
        <v>25</v>
      </c>
    </row>
    <row r="274" spans="1:20" s="9" customFormat="1" ht="11.25" customHeight="1">
      <c r="A274" s="17">
        <v>1</v>
      </c>
      <c r="B274" s="142">
        <v>2</v>
      </c>
      <c r="C274" s="142"/>
      <c r="D274" s="18">
        <v>3</v>
      </c>
      <c r="E274" s="19"/>
      <c r="F274" s="19">
        <v>4</v>
      </c>
      <c r="G274" s="18">
        <v>5</v>
      </c>
      <c r="H274" s="18">
        <v>6</v>
      </c>
      <c r="I274" s="18">
        <v>7</v>
      </c>
      <c r="J274" s="18">
        <v>8</v>
      </c>
      <c r="K274" s="18">
        <v>9</v>
      </c>
      <c r="L274" s="18">
        <v>10</v>
      </c>
      <c r="M274" s="18">
        <v>11</v>
      </c>
      <c r="N274" s="18">
        <v>12</v>
      </c>
      <c r="O274" s="18">
        <v>13</v>
      </c>
      <c r="P274" s="18">
        <v>14</v>
      </c>
      <c r="Q274" s="18">
        <v>15</v>
      </c>
      <c r="R274" s="18">
        <v>16</v>
      </c>
      <c r="S274" s="18">
        <v>17</v>
      </c>
      <c r="T274" s="18">
        <v>18</v>
      </c>
    </row>
    <row r="275" spans="1:20" s="9" customFormat="1" ht="11.25" customHeight="1">
      <c r="A275" s="143" t="s">
        <v>56</v>
      </c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</row>
    <row r="276" spans="1:20" s="6" customFormat="1" ht="23.25" customHeight="1">
      <c r="A276" s="63" t="s">
        <v>30</v>
      </c>
      <c r="B276" s="127" t="s">
        <v>57</v>
      </c>
      <c r="C276" s="127"/>
      <c r="D276" s="64">
        <v>40</v>
      </c>
      <c r="E276" s="65">
        <v>4.2</v>
      </c>
      <c r="F276" s="65">
        <f>0.5*D276/60</f>
        <v>0.3333333333333333</v>
      </c>
      <c r="G276" s="65">
        <f>0.03*D276/30</f>
        <v>0.04</v>
      </c>
      <c r="H276" s="65">
        <f>1.7*D276/60</f>
        <v>1.1333333333333333</v>
      </c>
      <c r="I276" s="65">
        <f>F276*4+G276*9+H276*4</f>
        <v>6.226666666666667</v>
      </c>
      <c r="J276" s="65">
        <v>0.009</v>
      </c>
      <c r="K276" s="65">
        <v>0.01</v>
      </c>
      <c r="L276" s="65">
        <v>3</v>
      </c>
      <c r="M276" s="65">
        <v>0.003</v>
      </c>
      <c r="N276" s="65">
        <v>0.03</v>
      </c>
      <c r="O276" s="65">
        <v>6.9</v>
      </c>
      <c r="P276" s="65">
        <v>12.6</v>
      </c>
      <c r="Q276" s="65">
        <v>0.064</v>
      </c>
      <c r="R276" s="65">
        <v>0.001</v>
      </c>
      <c r="S276" s="65">
        <v>4.2</v>
      </c>
      <c r="T276" s="65">
        <v>0.18</v>
      </c>
    </row>
    <row r="277" spans="1:20" s="6" customFormat="1" ht="33" customHeight="1">
      <c r="A277" s="125">
        <v>291</v>
      </c>
      <c r="B277" s="127" t="s">
        <v>124</v>
      </c>
      <c r="C277" s="127"/>
      <c r="D277" s="117">
        <v>240</v>
      </c>
      <c r="E277" s="118">
        <v>44.14</v>
      </c>
      <c r="F277" s="28">
        <v>20.3</v>
      </c>
      <c r="G277" s="28">
        <v>17</v>
      </c>
      <c r="H277" s="28">
        <v>35.69</v>
      </c>
      <c r="I277" s="28">
        <v>377</v>
      </c>
      <c r="J277" s="28">
        <v>0.06</v>
      </c>
      <c r="K277" s="28">
        <v>0.66</v>
      </c>
      <c r="L277" s="28">
        <v>1.01</v>
      </c>
      <c r="M277" s="28">
        <v>48</v>
      </c>
      <c r="N277" s="28">
        <v>0</v>
      </c>
      <c r="O277" s="28">
        <v>45.1</v>
      </c>
      <c r="P277" s="28">
        <v>199.3</v>
      </c>
      <c r="Q277" s="28">
        <v>0</v>
      </c>
      <c r="R277" s="28">
        <v>0</v>
      </c>
      <c r="S277" s="28">
        <v>47.5</v>
      </c>
      <c r="T277" s="28">
        <v>2.19</v>
      </c>
    </row>
    <row r="278" spans="1:20" s="6" customFormat="1" ht="11.25" customHeight="1">
      <c r="A278" s="31">
        <v>377</v>
      </c>
      <c r="B278" s="134" t="s">
        <v>48</v>
      </c>
      <c r="C278" s="134"/>
      <c r="D278" s="50">
        <v>200</v>
      </c>
      <c r="E278" s="28">
        <v>3.3</v>
      </c>
      <c r="F278" s="109">
        <v>0.26</v>
      </c>
      <c r="G278" s="109">
        <v>0.06</v>
      </c>
      <c r="H278" s="109">
        <v>15.22</v>
      </c>
      <c r="I278" s="109">
        <v>62.46</v>
      </c>
      <c r="J278" s="109">
        <v>0</v>
      </c>
      <c r="K278" s="109">
        <v>0.01</v>
      </c>
      <c r="L278" s="109">
        <v>2.9</v>
      </c>
      <c r="M278" s="109">
        <v>0</v>
      </c>
      <c r="N278" s="109">
        <v>0.06</v>
      </c>
      <c r="O278" s="109">
        <v>8.05</v>
      </c>
      <c r="P278" s="109">
        <v>9.78</v>
      </c>
      <c r="Q278" s="109">
        <v>0.017</v>
      </c>
      <c r="R278" s="109">
        <v>0</v>
      </c>
      <c r="S278" s="109">
        <v>5.24</v>
      </c>
      <c r="T278" s="109">
        <v>0.87</v>
      </c>
    </row>
    <row r="279" spans="1:20" s="6" customFormat="1" ht="11.25" customHeight="1">
      <c r="A279" s="29" t="s">
        <v>30</v>
      </c>
      <c r="B279" s="127" t="s">
        <v>59</v>
      </c>
      <c r="C279" s="127"/>
      <c r="D279" s="24">
        <v>40</v>
      </c>
      <c r="E279" s="23">
        <v>2.6</v>
      </c>
      <c r="F279" s="23">
        <f>1.52*D279/30</f>
        <v>2.0266666666666664</v>
      </c>
      <c r="G279" s="23">
        <f>0.16*D279/30</f>
        <v>0.21333333333333335</v>
      </c>
      <c r="H279" s="23">
        <f>9.84*D279/30</f>
        <v>13.120000000000001</v>
      </c>
      <c r="I279" s="23">
        <f>F279*4+G279*9+H279*4</f>
        <v>62.50666666666667</v>
      </c>
      <c r="J279" s="23">
        <f>0.02*D279/30</f>
        <v>0.02666666666666667</v>
      </c>
      <c r="K279" s="23">
        <f>0.01*D279/30</f>
        <v>0.013333333333333334</v>
      </c>
      <c r="L279" s="23">
        <f>0.44*D279/30</f>
        <v>0.5866666666666667</v>
      </c>
      <c r="M279" s="23">
        <v>0</v>
      </c>
      <c r="N279" s="23">
        <f>0.7*D279/30</f>
        <v>0.9333333333333333</v>
      </c>
      <c r="O279" s="23">
        <f>4*D279/30</f>
        <v>5.333333333333333</v>
      </c>
      <c r="P279" s="23">
        <f>13*D279/30</f>
        <v>17.333333333333332</v>
      </c>
      <c r="Q279" s="23">
        <f>0.008*D279/30</f>
        <v>0.010666666666666666</v>
      </c>
      <c r="R279" s="23">
        <f>0.001*D279/30</f>
        <v>0.0013333333333333333</v>
      </c>
      <c r="S279" s="23">
        <v>0</v>
      </c>
      <c r="T279" s="23">
        <f>0.22*D279/30</f>
        <v>0.29333333333333333</v>
      </c>
    </row>
    <row r="280" spans="1:20" s="6" customFormat="1" ht="11.25" customHeight="1">
      <c r="A280" s="66" t="s">
        <v>30</v>
      </c>
      <c r="B280" s="141" t="s">
        <v>33</v>
      </c>
      <c r="C280" s="141"/>
      <c r="D280" s="24">
        <v>20</v>
      </c>
      <c r="E280" s="23">
        <v>13.05</v>
      </c>
      <c r="F280" s="30">
        <v>0.65</v>
      </c>
      <c r="G280" s="30">
        <v>3.8</v>
      </c>
      <c r="H280" s="30">
        <v>17.6</v>
      </c>
      <c r="I280" s="30">
        <v>38</v>
      </c>
      <c r="J280" s="30">
        <v>0.026</v>
      </c>
      <c r="K280" s="30">
        <v>0.03</v>
      </c>
      <c r="L280" s="30">
        <v>0.13</v>
      </c>
      <c r="M280" s="30">
        <v>11.96</v>
      </c>
      <c r="N280" s="30">
        <v>0.39</v>
      </c>
      <c r="O280" s="30">
        <v>24.18</v>
      </c>
      <c r="P280" s="30">
        <v>49.4</v>
      </c>
      <c r="Q280" s="30">
        <v>0.2</v>
      </c>
      <c r="R280" s="30">
        <v>0.002</v>
      </c>
      <c r="S280" s="30">
        <v>18.72</v>
      </c>
      <c r="T280" s="30">
        <v>0.182</v>
      </c>
    </row>
    <row r="281" spans="1:20" s="6" customFormat="1" ht="11.25" customHeight="1">
      <c r="A281" s="93" t="s">
        <v>60</v>
      </c>
      <c r="B281" s="79"/>
      <c r="C281" s="79"/>
      <c r="D281" s="34">
        <f>SUM(D276:D280)</f>
        <v>540</v>
      </c>
      <c r="E281" s="35">
        <f>SUM(E276:E280)</f>
        <v>67.29</v>
      </c>
      <c r="F281" s="36">
        <f>SUM(F276:F280)</f>
        <v>23.57</v>
      </c>
      <c r="G281" s="36">
        <f aca="true" t="shared" si="64" ref="G281:T281">SUM(G276:G280)</f>
        <v>21.113333333333333</v>
      </c>
      <c r="H281" s="36">
        <f t="shared" si="64"/>
        <v>82.76333333333332</v>
      </c>
      <c r="I281" s="36">
        <f t="shared" si="64"/>
        <v>546.1933333333334</v>
      </c>
      <c r="J281" s="36">
        <f t="shared" si="64"/>
        <v>0.12166666666666666</v>
      </c>
      <c r="K281" s="36">
        <f t="shared" si="64"/>
        <v>0.7233333333333334</v>
      </c>
      <c r="L281" s="36">
        <f t="shared" si="64"/>
        <v>7.626666666666667</v>
      </c>
      <c r="M281" s="36">
        <f t="shared" si="64"/>
        <v>59.963</v>
      </c>
      <c r="N281" s="36">
        <f t="shared" si="64"/>
        <v>1.4133333333333336</v>
      </c>
      <c r="O281" s="36">
        <f t="shared" si="64"/>
        <v>89.56333333333333</v>
      </c>
      <c r="P281" s="36">
        <f t="shared" si="64"/>
        <v>288.41333333333336</v>
      </c>
      <c r="Q281" s="36">
        <f t="shared" si="64"/>
        <v>0.2916666666666667</v>
      </c>
      <c r="R281" s="36">
        <f t="shared" si="64"/>
        <v>0.004333333333333333</v>
      </c>
      <c r="S281" s="36">
        <f t="shared" si="64"/>
        <v>75.66</v>
      </c>
      <c r="T281" s="36">
        <f t="shared" si="64"/>
        <v>3.7153333333333336</v>
      </c>
    </row>
    <row r="282" spans="1:20" s="6" customFormat="1" ht="11.25" customHeight="1">
      <c r="A282" s="148" t="s">
        <v>35</v>
      </c>
      <c r="B282" s="148"/>
      <c r="C282" s="148"/>
      <c r="D282" s="148"/>
      <c r="E282" s="69"/>
      <c r="F282" s="80">
        <f aca="true" t="shared" si="65" ref="F282:T282">F281/F300</f>
        <v>0.2618888888888889</v>
      </c>
      <c r="G282" s="59">
        <f t="shared" si="65"/>
        <v>0.2294927536231884</v>
      </c>
      <c r="H282" s="59">
        <f t="shared" si="65"/>
        <v>0.21609225413402955</v>
      </c>
      <c r="I282" s="59">
        <f t="shared" si="65"/>
        <v>0.20080637254901962</v>
      </c>
      <c r="J282" s="59">
        <f t="shared" si="65"/>
        <v>0.0869047619047619</v>
      </c>
      <c r="K282" s="59">
        <f t="shared" si="65"/>
        <v>0.45208333333333334</v>
      </c>
      <c r="L282" s="59">
        <f t="shared" si="65"/>
        <v>0.10895238095238095</v>
      </c>
      <c r="M282" s="59">
        <f t="shared" si="65"/>
        <v>66.62555555555555</v>
      </c>
      <c r="N282" s="59">
        <f t="shared" si="65"/>
        <v>0.1177777777777778</v>
      </c>
      <c r="O282" s="59">
        <f t="shared" si="65"/>
        <v>0.07463611111111111</v>
      </c>
      <c r="P282" s="59">
        <f t="shared" si="65"/>
        <v>0.24034444444444447</v>
      </c>
      <c r="Q282" s="59">
        <f t="shared" si="65"/>
        <v>0.020833333333333336</v>
      </c>
      <c r="R282" s="59">
        <f t="shared" si="65"/>
        <v>0.04333333333333333</v>
      </c>
      <c r="S282" s="59">
        <f t="shared" si="65"/>
        <v>0.2522</v>
      </c>
      <c r="T282" s="59">
        <f t="shared" si="65"/>
        <v>0.20640740740740743</v>
      </c>
    </row>
    <row r="283" spans="1:20" s="6" customFormat="1" ht="11.25" customHeight="1">
      <c r="A283" s="162" t="s">
        <v>36</v>
      </c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</row>
    <row r="284" spans="1:20" s="6" customFormat="1" ht="21.75" customHeight="1">
      <c r="A284" s="17">
        <v>24</v>
      </c>
      <c r="B284" s="152" t="s">
        <v>73</v>
      </c>
      <c r="C284" s="152"/>
      <c r="D284" s="24">
        <v>60</v>
      </c>
      <c r="E284" s="23">
        <v>6.9</v>
      </c>
      <c r="F284" s="28">
        <v>0.59</v>
      </c>
      <c r="G284" s="28">
        <v>3.69</v>
      </c>
      <c r="H284" s="28">
        <v>2.24</v>
      </c>
      <c r="I284" s="28">
        <v>44.52</v>
      </c>
      <c r="J284" s="28">
        <v>0.03</v>
      </c>
      <c r="K284" s="28">
        <v>0.03333333333333333</v>
      </c>
      <c r="L284" s="28">
        <v>10.06</v>
      </c>
      <c r="M284" s="28">
        <v>0</v>
      </c>
      <c r="N284" s="28">
        <v>1.25</v>
      </c>
      <c r="O284" s="28">
        <v>11.21</v>
      </c>
      <c r="P284" s="28">
        <v>20.77</v>
      </c>
      <c r="Q284" s="28">
        <v>0.25</v>
      </c>
      <c r="R284" s="28">
        <v>0.0016666666666666668</v>
      </c>
      <c r="S284" s="28">
        <v>9.76</v>
      </c>
      <c r="T284" s="28">
        <v>0.44</v>
      </c>
    </row>
    <row r="285" spans="1:20" s="6" customFormat="1" ht="23.25" customHeight="1">
      <c r="A285" s="17">
        <v>88</v>
      </c>
      <c r="B285" s="152" t="s">
        <v>112</v>
      </c>
      <c r="C285" s="152"/>
      <c r="D285" s="25">
        <v>250</v>
      </c>
      <c r="E285" s="23">
        <v>10.42</v>
      </c>
      <c r="F285" s="28">
        <v>2.44</v>
      </c>
      <c r="G285" s="28">
        <v>6.41</v>
      </c>
      <c r="H285" s="28">
        <v>11.11</v>
      </c>
      <c r="I285" s="28">
        <v>111.89</v>
      </c>
      <c r="J285" s="28">
        <v>0.03</v>
      </c>
      <c r="K285" s="28">
        <v>0.03</v>
      </c>
      <c r="L285" s="28">
        <v>11.39</v>
      </c>
      <c r="M285" s="28">
        <v>0.05</v>
      </c>
      <c r="N285" s="28">
        <v>0.099</v>
      </c>
      <c r="O285" s="28">
        <v>45.49</v>
      </c>
      <c r="P285" s="28">
        <v>29.96</v>
      </c>
      <c r="Q285" s="28">
        <v>1.44</v>
      </c>
      <c r="R285" s="28">
        <v>0.002</v>
      </c>
      <c r="S285" s="28">
        <v>15.35</v>
      </c>
      <c r="T285" s="28">
        <v>0.49</v>
      </c>
    </row>
    <row r="286" spans="1:20" s="6" customFormat="1" ht="13.5" customHeight="1">
      <c r="A286" s="116">
        <v>232</v>
      </c>
      <c r="B286" s="164" t="s">
        <v>63</v>
      </c>
      <c r="C286" s="164"/>
      <c r="D286" s="117">
        <v>90</v>
      </c>
      <c r="E286" s="118">
        <v>34.5</v>
      </c>
      <c r="F286" s="119">
        <v>18.18</v>
      </c>
      <c r="G286" s="119">
        <v>10.863</v>
      </c>
      <c r="H286" s="119">
        <v>1.872</v>
      </c>
      <c r="I286" s="119">
        <v>177.975</v>
      </c>
      <c r="J286" s="119">
        <v>0.18</v>
      </c>
      <c r="K286" s="119">
        <v>0.153</v>
      </c>
      <c r="L286" s="119">
        <v>2.367</v>
      </c>
      <c r="M286" s="119">
        <v>0.028</v>
      </c>
      <c r="N286" s="119">
        <v>0.3</v>
      </c>
      <c r="O286" s="119">
        <v>77.5</v>
      </c>
      <c r="P286" s="119">
        <v>37.586</v>
      </c>
      <c r="Q286" s="119">
        <v>0.8</v>
      </c>
      <c r="R286" s="119">
        <v>0.04</v>
      </c>
      <c r="S286" s="119">
        <v>26.066</v>
      </c>
      <c r="T286" s="119">
        <v>0.821</v>
      </c>
    </row>
    <row r="287" spans="1:20" s="6" customFormat="1" ht="15" customHeight="1">
      <c r="A287" s="106">
        <v>304</v>
      </c>
      <c r="B287" s="144" t="s">
        <v>58</v>
      </c>
      <c r="C287" s="144"/>
      <c r="D287" s="108">
        <v>180</v>
      </c>
      <c r="E287" s="107">
        <v>8.24</v>
      </c>
      <c r="F287" s="119">
        <v>4.44</v>
      </c>
      <c r="G287" s="119">
        <v>6.44</v>
      </c>
      <c r="H287" s="119">
        <v>44.016</v>
      </c>
      <c r="I287" s="119">
        <v>251.82</v>
      </c>
      <c r="J287" s="119">
        <v>0.036</v>
      </c>
      <c r="K287" s="119">
        <v>0.024</v>
      </c>
      <c r="L287" s="109">
        <v>0</v>
      </c>
      <c r="M287" s="119">
        <v>0.048</v>
      </c>
      <c r="N287" s="109">
        <v>0</v>
      </c>
      <c r="O287" s="119">
        <v>17.928</v>
      </c>
      <c r="P287" s="119">
        <v>95.256</v>
      </c>
      <c r="Q287" s="109">
        <v>0</v>
      </c>
      <c r="R287" s="109">
        <v>0.001</v>
      </c>
      <c r="S287" s="119">
        <v>33.468</v>
      </c>
      <c r="T287" s="119">
        <v>0.708</v>
      </c>
    </row>
    <row r="288" spans="1:20" s="6" customFormat="1" ht="12" customHeight="1">
      <c r="A288" s="17">
        <v>699</v>
      </c>
      <c r="B288" s="127" t="s">
        <v>76</v>
      </c>
      <c r="C288" s="127"/>
      <c r="D288" s="24">
        <v>200</v>
      </c>
      <c r="E288" s="23">
        <v>4.08</v>
      </c>
      <c r="F288" s="28">
        <v>0.1</v>
      </c>
      <c r="G288" s="28">
        <v>0</v>
      </c>
      <c r="H288" s="28">
        <v>15.7</v>
      </c>
      <c r="I288" s="28">
        <v>63.2</v>
      </c>
      <c r="J288" s="28">
        <v>0.018</v>
      </c>
      <c r="K288" s="28">
        <v>0.012</v>
      </c>
      <c r="L288" s="28">
        <v>8</v>
      </c>
      <c r="M288" s="28">
        <v>0</v>
      </c>
      <c r="N288" s="28">
        <v>0.2</v>
      </c>
      <c r="O288" s="28">
        <v>10.8</v>
      </c>
      <c r="P288" s="28">
        <v>1.7</v>
      </c>
      <c r="Q288" s="28">
        <v>0</v>
      </c>
      <c r="R288" s="28">
        <v>0</v>
      </c>
      <c r="S288" s="28">
        <v>5.8</v>
      </c>
      <c r="T288" s="28">
        <v>1.6</v>
      </c>
    </row>
    <row r="289" spans="1:20" s="6" customFormat="1" ht="11.25" customHeight="1">
      <c r="A289" s="51" t="s">
        <v>30</v>
      </c>
      <c r="B289" s="127" t="s">
        <v>43</v>
      </c>
      <c r="C289" s="127"/>
      <c r="D289" s="24">
        <v>50</v>
      </c>
      <c r="E289" s="23">
        <v>2.35</v>
      </c>
      <c r="F289" s="23">
        <f>2.64*D289/40</f>
        <v>3.3</v>
      </c>
      <c r="G289" s="23">
        <f>0.48*D289/40</f>
        <v>0.6</v>
      </c>
      <c r="H289" s="23">
        <f>13.68*D289/40</f>
        <v>17.1</v>
      </c>
      <c r="I289" s="23">
        <f>F289*4+G289*9+H289*4</f>
        <v>87</v>
      </c>
      <c r="J289" s="23">
        <f>0.08*D289/40</f>
        <v>0.1</v>
      </c>
      <c r="K289" s="23">
        <f>0.04*D289/40</f>
        <v>0.05</v>
      </c>
      <c r="L289" s="23">
        <v>0</v>
      </c>
      <c r="M289" s="23">
        <v>0</v>
      </c>
      <c r="N289" s="23">
        <f>2.4*D289/40</f>
        <v>3</v>
      </c>
      <c r="O289" s="23">
        <f>14*D289/40</f>
        <v>17.5</v>
      </c>
      <c r="P289" s="23">
        <f>63.2*D289/40</f>
        <v>79</v>
      </c>
      <c r="Q289" s="23">
        <f>1.2*D289/40</f>
        <v>1.5</v>
      </c>
      <c r="R289" s="23">
        <f>0.001*D289/40</f>
        <v>0.00125</v>
      </c>
      <c r="S289" s="23">
        <f>9.4*D289/40</f>
        <v>11.75</v>
      </c>
      <c r="T289" s="23">
        <f>0.78*D289/40</f>
        <v>0.975</v>
      </c>
    </row>
    <row r="290" spans="1:20" s="6" customFormat="1" ht="11.25" customHeight="1">
      <c r="A290" s="66" t="s">
        <v>30</v>
      </c>
      <c r="B290" s="141" t="s">
        <v>44</v>
      </c>
      <c r="C290" s="141"/>
      <c r="D290" s="24">
        <v>120</v>
      </c>
      <c r="E290" s="23">
        <v>23.51</v>
      </c>
      <c r="F290" s="28">
        <v>0.9</v>
      </c>
      <c r="G290" s="28">
        <v>0.2</v>
      </c>
      <c r="H290" s="28">
        <v>8.1</v>
      </c>
      <c r="I290" s="28">
        <v>136.6</v>
      </c>
      <c r="J290" s="28">
        <v>0.04</v>
      </c>
      <c r="K290" s="28">
        <v>0.03</v>
      </c>
      <c r="L290" s="28">
        <v>60</v>
      </c>
      <c r="M290" s="28">
        <v>0</v>
      </c>
      <c r="N290" s="28">
        <v>0.2</v>
      </c>
      <c r="O290" s="28">
        <v>34</v>
      </c>
      <c r="P290" s="28">
        <v>23</v>
      </c>
      <c r="Q290" s="28">
        <v>0.2</v>
      </c>
      <c r="R290" s="28">
        <v>0</v>
      </c>
      <c r="S290" s="28">
        <v>15</v>
      </c>
      <c r="T290" s="28">
        <v>0.3</v>
      </c>
    </row>
    <row r="291" spans="1:20" s="6" customFormat="1" ht="11.25" customHeight="1">
      <c r="A291" s="54" t="s">
        <v>45</v>
      </c>
      <c r="B291" s="55"/>
      <c r="C291" s="55"/>
      <c r="D291" s="34">
        <f>SUM(D284:D290)</f>
        <v>950</v>
      </c>
      <c r="E291" s="35">
        <f>SUM(E284:E290)</f>
        <v>90</v>
      </c>
      <c r="F291" s="36">
        <f>SUM(F284:F290)</f>
        <v>29.950000000000003</v>
      </c>
      <c r="G291" s="36">
        <f aca="true" t="shared" si="66" ref="G291:T291">SUM(G284:G290)</f>
        <v>28.203000000000003</v>
      </c>
      <c r="H291" s="36">
        <f t="shared" si="66"/>
        <v>100.138</v>
      </c>
      <c r="I291" s="36">
        <f t="shared" si="66"/>
        <v>873.005</v>
      </c>
      <c r="J291" s="36">
        <f t="shared" si="66"/>
        <v>0.434</v>
      </c>
      <c r="K291" s="36">
        <f t="shared" si="66"/>
        <v>0.33233333333333326</v>
      </c>
      <c r="L291" s="36">
        <f t="shared" si="66"/>
        <v>91.81700000000001</v>
      </c>
      <c r="M291" s="36">
        <f t="shared" si="66"/>
        <v>0.126</v>
      </c>
      <c r="N291" s="36">
        <f t="shared" si="66"/>
        <v>5.049</v>
      </c>
      <c r="O291" s="36">
        <f t="shared" si="66"/>
        <v>214.428</v>
      </c>
      <c r="P291" s="36">
        <f t="shared" si="66"/>
        <v>287.272</v>
      </c>
      <c r="Q291" s="36">
        <f t="shared" si="66"/>
        <v>4.19</v>
      </c>
      <c r="R291" s="36">
        <f t="shared" si="66"/>
        <v>0.04591666666666667</v>
      </c>
      <c r="S291" s="36">
        <f t="shared" si="66"/>
        <v>117.194</v>
      </c>
      <c r="T291" s="36">
        <f t="shared" si="66"/>
        <v>5.333999999999999</v>
      </c>
    </row>
    <row r="292" spans="1:20" s="6" customFormat="1" ht="11.25" customHeight="1">
      <c r="A292" s="148" t="s">
        <v>35</v>
      </c>
      <c r="B292" s="148"/>
      <c r="C292" s="148"/>
      <c r="D292" s="148"/>
      <c r="E292" s="69"/>
      <c r="F292" s="80">
        <f aca="true" t="shared" si="67" ref="F292:T292">F291/F300</f>
        <v>0.3327777777777778</v>
      </c>
      <c r="G292" s="59">
        <f t="shared" si="67"/>
        <v>0.306554347826087</v>
      </c>
      <c r="H292" s="59">
        <f t="shared" si="67"/>
        <v>0.26145691906005225</v>
      </c>
      <c r="I292" s="59">
        <f t="shared" si="67"/>
        <v>0.3209577205882353</v>
      </c>
      <c r="J292" s="59">
        <f t="shared" si="67"/>
        <v>0.31</v>
      </c>
      <c r="K292" s="59">
        <f t="shared" si="67"/>
        <v>0.20770833333333327</v>
      </c>
      <c r="L292" s="59">
        <f t="shared" si="67"/>
        <v>1.3116714285714286</v>
      </c>
      <c r="M292" s="59">
        <f t="shared" si="67"/>
        <v>0.13999999999999999</v>
      </c>
      <c r="N292" s="59">
        <f t="shared" si="67"/>
        <v>0.42075</v>
      </c>
      <c r="O292" s="59">
        <f t="shared" si="67"/>
        <v>0.17869</v>
      </c>
      <c r="P292" s="59">
        <f t="shared" si="67"/>
        <v>0.23939333333333332</v>
      </c>
      <c r="Q292" s="59">
        <f t="shared" si="67"/>
        <v>0.2992857142857143</v>
      </c>
      <c r="R292" s="59">
        <f t="shared" si="67"/>
        <v>0.45916666666666667</v>
      </c>
      <c r="S292" s="59">
        <f t="shared" si="67"/>
        <v>0.3906466666666667</v>
      </c>
      <c r="T292" s="59">
        <f t="shared" si="67"/>
        <v>0.2963333333333333</v>
      </c>
    </row>
    <row r="293" spans="1:20" s="6" customFormat="1" ht="11.25" customHeight="1">
      <c r="A293" s="143" t="s">
        <v>46</v>
      </c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</row>
    <row r="294" spans="1:20" s="6" customFormat="1" ht="21.75" customHeight="1">
      <c r="A294" s="17">
        <v>401</v>
      </c>
      <c r="B294" s="127" t="s">
        <v>113</v>
      </c>
      <c r="C294" s="127"/>
      <c r="D294" s="25">
        <v>150</v>
      </c>
      <c r="E294" s="23">
        <v>16.83</v>
      </c>
      <c r="F294" s="23">
        <v>10.9</v>
      </c>
      <c r="G294" s="23">
        <v>11.9</v>
      </c>
      <c r="H294" s="23">
        <v>57.3</v>
      </c>
      <c r="I294" s="23">
        <f>F294*4+G294*9+H294*4</f>
        <v>379.9</v>
      </c>
      <c r="J294" s="23">
        <v>0.15</v>
      </c>
      <c r="K294" s="23">
        <v>0.15</v>
      </c>
      <c r="L294" s="23">
        <v>0.15</v>
      </c>
      <c r="M294" s="23">
        <v>0.11</v>
      </c>
      <c r="N294" s="23">
        <v>1.6</v>
      </c>
      <c r="O294" s="23">
        <v>77.25</v>
      </c>
      <c r="P294" s="23">
        <v>135.45</v>
      </c>
      <c r="Q294" s="23">
        <v>1.3</v>
      </c>
      <c r="R294" s="23">
        <v>0.01</v>
      </c>
      <c r="S294" s="23">
        <v>23.6</v>
      </c>
      <c r="T294" s="23">
        <v>0.4</v>
      </c>
    </row>
    <row r="295" spans="1:20" s="6" customFormat="1" ht="11.25" customHeight="1">
      <c r="A295" s="17">
        <v>382</v>
      </c>
      <c r="B295" s="127" t="s">
        <v>114</v>
      </c>
      <c r="C295" s="127"/>
      <c r="D295" s="24">
        <v>200</v>
      </c>
      <c r="E295" s="23">
        <v>13.17</v>
      </c>
      <c r="F295" s="23">
        <f>3.5*D295/200</f>
        <v>3.5</v>
      </c>
      <c r="G295" s="23">
        <f>3.7*D295/200</f>
        <v>3.7</v>
      </c>
      <c r="H295" s="23">
        <f>25.5*D295/200</f>
        <v>25.5</v>
      </c>
      <c r="I295" s="23">
        <f>F295*4+G295*9+H295*4</f>
        <v>149.3</v>
      </c>
      <c r="J295" s="23">
        <f>0.06*D295/200</f>
        <v>0.06</v>
      </c>
      <c r="K295" s="23">
        <f>0.006*D295/200</f>
        <v>0.006</v>
      </c>
      <c r="L295" s="23">
        <f>1.6*D295/200</f>
        <v>1.6</v>
      </c>
      <c r="M295" s="23">
        <f>0.04*D295/200</f>
        <v>0.04</v>
      </c>
      <c r="N295" s="23">
        <f>0.4*D295/200</f>
        <v>0.4</v>
      </c>
      <c r="O295" s="23">
        <f>102.6*D295/200</f>
        <v>102.6</v>
      </c>
      <c r="P295" s="23">
        <f>178.4*D295/200</f>
        <v>178.4</v>
      </c>
      <c r="Q295" s="23">
        <f>1*D295/200</f>
        <v>1</v>
      </c>
      <c r="R295" s="23">
        <f>0.001*D295/200</f>
        <v>0.001</v>
      </c>
      <c r="S295" s="23">
        <f>24.8*D295/200</f>
        <v>24.8</v>
      </c>
      <c r="T295" s="23">
        <f>0.48*D295/200</f>
        <v>0.48</v>
      </c>
    </row>
    <row r="297" spans="1:20" s="9" customFormat="1" ht="11.25" customHeight="1">
      <c r="A297" s="54" t="s">
        <v>49</v>
      </c>
      <c r="B297" s="55"/>
      <c r="C297" s="55"/>
      <c r="D297" s="34">
        <f>SUM(D294:D295)</f>
        <v>350</v>
      </c>
      <c r="E297" s="35">
        <f>SUM(E294:E296)</f>
        <v>30</v>
      </c>
      <c r="F297" s="36">
        <f>SUM(F294:F295)</f>
        <v>14.4</v>
      </c>
      <c r="G297" s="36">
        <f aca="true" t="shared" si="68" ref="G297:T297">SUM(G294:G295)</f>
        <v>15.600000000000001</v>
      </c>
      <c r="H297" s="36">
        <f t="shared" si="68"/>
        <v>82.8</v>
      </c>
      <c r="I297" s="36">
        <f t="shared" si="68"/>
        <v>529.2</v>
      </c>
      <c r="J297" s="36">
        <f t="shared" si="68"/>
        <v>0.21</v>
      </c>
      <c r="K297" s="36">
        <f t="shared" si="68"/>
        <v>0.156</v>
      </c>
      <c r="L297" s="36">
        <f t="shared" si="68"/>
        <v>1.75</v>
      </c>
      <c r="M297" s="36">
        <f t="shared" si="68"/>
        <v>0.15</v>
      </c>
      <c r="N297" s="36">
        <f t="shared" si="68"/>
        <v>2</v>
      </c>
      <c r="O297" s="36">
        <f t="shared" si="68"/>
        <v>179.85</v>
      </c>
      <c r="P297" s="36">
        <f t="shared" si="68"/>
        <v>313.85</v>
      </c>
      <c r="Q297" s="36">
        <f t="shared" si="68"/>
        <v>2.3</v>
      </c>
      <c r="R297" s="36">
        <f t="shared" si="68"/>
        <v>0.011</v>
      </c>
      <c r="S297" s="36">
        <f t="shared" si="68"/>
        <v>48.400000000000006</v>
      </c>
      <c r="T297" s="36">
        <f t="shared" si="68"/>
        <v>0.88</v>
      </c>
    </row>
    <row r="298" spans="1:20" s="9" customFormat="1" ht="11.25" customHeight="1">
      <c r="A298" s="148" t="s">
        <v>35</v>
      </c>
      <c r="B298" s="148"/>
      <c r="C298" s="148"/>
      <c r="D298" s="148"/>
      <c r="E298" s="39"/>
      <c r="F298" s="58">
        <f aca="true" t="shared" si="69" ref="F298:T298">F297/F300</f>
        <v>0.16</v>
      </c>
      <c r="G298" s="59">
        <f t="shared" si="69"/>
        <v>0.16956521739130437</v>
      </c>
      <c r="H298" s="59">
        <f t="shared" si="69"/>
        <v>0.21618798955613577</v>
      </c>
      <c r="I298" s="59">
        <f t="shared" si="69"/>
        <v>0.19455882352941178</v>
      </c>
      <c r="J298" s="59">
        <f t="shared" si="69"/>
        <v>0.15</v>
      </c>
      <c r="K298" s="59">
        <f t="shared" si="69"/>
        <v>0.09749999999999999</v>
      </c>
      <c r="L298" s="59">
        <f t="shared" si="69"/>
        <v>0.025</v>
      </c>
      <c r="M298" s="59">
        <f t="shared" si="69"/>
        <v>0.16666666666666666</v>
      </c>
      <c r="N298" s="59">
        <f t="shared" si="69"/>
        <v>0.16666666666666666</v>
      </c>
      <c r="O298" s="59">
        <f t="shared" si="69"/>
        <v>0.149875</v>
      </c>
      <c r="P298" s="59">
        <f t="shared" si="69"/>
        <v>0.2615416666666667</v>
      </c>
      <c r="Q298" s="59">
        <f t="shared" si="69"/>
        <v>0.16428571428571428</v>
      </c>
      <c r="R298" s="59">
        <f t="shared" si="69"/>
        <v>0.10999999999999999</v>
      </c>
      <c r="S298" s="59">
        <f t="shared" si="69"/>
        <v>0.16133333333333336</v>
      </c>
      <c r="T298" s="59">
        <f t="shared" si="69"/>
        <v>0.04888888888888889</v>
      </c>
    </row>
    <row r="299" spans="1:20" s="9" customFormat="1" ht="11.25" customHeight="1">
      <c r="A299" s="138" t="s">
        <v>50</v>
      </c>
      <c r="B299" s="138"/>
      <c r="C299" s="138"/>
      <c r="D299" s="138"/>
      <c r="E299" s="39"/>
      <c r="F299" s="36">
        <f aca="true" t="shared" si="70" ref="F299:T299">SUM(F281,F291,F297)</f>
        <v>67.92</v>
      </c>
      <c r="G299" s="37">
        <f t="shared" si="70"/>
        <v>64.91633333333334</v>
      </c>
      <c r="H299" s="37">
        <f t="shared" si="70"/>
        <v>265.7013333333333</v>
      </c>
      <c r="I299" s="37">
        <f t="shared" si="70"/>
        <v>1948.3983333333333</v>
      </c>
      <c r="J299" s="36">
        <f t="shared" si="70"/>
        <v>0.7656666666666666</v>
      </c>
      <c r="K299" s="36">
        <f t="shared" si="70"/>
        <v>1.2116666666666667</v>
      </c>
      <c r="L299" s="37">
        <f t="shared" si="70"/>
        <v>101.19366666666667</v>
      </c>
      <c r="M299" s="36">
        <f t="shared" si="70"/>
        <v>60.239</v>
      </c>
      <c r="N299" s="36">
        <f t="shared" si="70"/>
        <v>8.462333333333333</v>
      </c>
      <c r="O299" s="37">
        <f t="shared" si="70"/>
        <v>483.8413333333333</v>
      </c>
      <c r="P299" s="37">
        <f t="shared" si="70"/>
        <v>889.5353333333334</v>
      </c>
      <c r="Q299" s="36">
        <f t="shared" si="70"/>
        <v>6.781666666666667</v>
      </c>
      <c r="R299" s="38">
        <f t="shared" si="70"/>
        <v>0.06125</v>
      </c>
      <c r="S299" s="36">
        <f t="shared" si="70"/>
        <v>241.254</v>
      </c>
      <c r="T299" s="36">
        <f t="shared" si="70"/>
        <v>9.929333333333334</v>
      </c>
    </row>
    <row r="300" spans="1:20" s="9" customFormat="1" ht="11.25" customHeight="1">
      <c r="A300" s="138" t="s">
        <v>51</v>
      </c>
      <c r="B300" s="138"/>
      <c r="C300" s="138"/>
      <c r="D300" s="138"/>
      <c r="E300" s="39"/>
      <c r="F300" s="23">
        <v>90</v>
      </c>
      <c r="G300" s="53">
        <v>92</v>
      </c>
      <c r="H300" s="53">
        <v>383</v>
      </c>
      <c r="I300" s="53">
        <v>2720</v>
      </c>
      <c r="J300" s="23">
        <v>1.4</v>
      </c>
      <c r="K300" s="23">
        <v>1.6</v>
      </c>
      <c r="L300" s="24">
        <v>70</v>
      </c>
      <c r="M300" s="23">
        <v>0.9</v>
      </c>
      <c r="N300" s="24">
        <v>12</v>
      </c>
      <c r="O300" s="24">
        <v>1200</v>
      </c>
      <c r="P300" s="24">
        <v>1200</v>
      </c>
      <c r="Q300" s="24">
        <v>14</v>
      </c>
      <c r="R300" s="53">
        <v>0.1</v>
      </c>
      <c r="S300" s="24">
        <v>300</v>
      </c>
      <c r="T300" s="23">
        <v>18</v>
      </c>
    </row>
    <row r="301" spans="1:20" s="9" customFormat="1" ht="11.25" customHeight="1">
      <c r="A301" s="148" t="s">
        <v>35</v>
      </c>
      <c r="B301" s="148"/>
      <c r="C301" s="148"/>
      <c r="D301" s="148"/>
      <c r="E301" s="39"/>
      <c r="F301" s="58">
        <f aca="true" t="shared" si="71" ref="F301:T301">F299/F300</f>
        <v>0.7546666666666667</v>
      </c>
      <c r="G301" s="59">
        <f t="shared" si="71"/>
        <v>0.7056123188405798</v>
      </c>
      <c r="H301" s="59">
        <f t="shared" si="71"/>
        <v>0.6937371627502176</v>
      </c>
      <c r="I301" s="59">
        <f t="shared" si="71"/>
        <v>0.7163229166666667</v>
      </c>
      <c r="J301" s="59">
        <f t="shared" si="71"/>
        <v>0.5469047619047619</v>
      </c>
      <c r="K301" s="59">
        <f t="shared" si="71"/>
        <v>0.7572916666666666</v>
      </c>
      <c r="L301" s="60">
        <f t="shared" si="71"/>
        <v>1.4456238095238096</v>
      </c>
      <c r="M301" s="60">
        <f t="shared" si="71"/>
        <v>66.93222222222222</v>
      </c>
      <c r="N301" s="60">
        <f t="shared" si="71"/>
        <v>0.7051944444444445</v>
      </c>
      <c r="O301" s="59">
        <f t="shared" si="71"/>
        <v>0.40320111111111107</v>
      </c>
      <c r="P301" s="59">
        <f t="shared" si="71"/>
        <v>0.7412794444444445</v>
      </c>
      <c r="Q301" s="59">
        <f t="shared" si="71"/>
        <v>0.48440476190476195</v>
      </c>
      <c r="R301" s="60">
        <f t="shared" si="71"/>
        <v>0.6124999999999999</v>
      </c>
      <c r="S301" s="59">
        <f t="shared" si="71"/>
        <v>0.80418</v>
      </c>
      <c r="T301" s="60">
        <f t="shared" si="71"/>
        <v>0.5516296296296297</v>
      </c>
    </row>
    <row r="302" spans="1:20" s="9" customFormat="1" ht="11.25" customHeight="1">
      <c r="A302" s="4"/>
      <c r="B302" s="5"/>
      <c r="C302" s="5"/>
      <c r="D302" s="6"/>
      <c r="E302" s="7"/>
      <c r="F302" s="7"/>
      <c r="G302" s="6"/>
      <c r="H302" s="6"/>
      <c r="I302" s="6"/>
      <c r="J302" s="6"/>
      <c r="K302" s="6"/>
      <c r="L302" s="6"/>
      <c r="M302" s="128" t="s">
        <v>0</v>
      </c>
      <c r="N302" s="128"/>
      <c r="O302" s="128"/>
      <c r="P302" s="128"/>
      <c r="Q302" s="128"/>
      <c r="R302" s="128"/>
      <c r="S302" s="128"/>
      <c r="T302" s="128"/>
    </row>
    <row r="303" spans="1:20" s="9" customFormat="1" ht="11.25" customHeight="1">
      <c r="A303" s="147" t="s">
        <v>115</v>
      </c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</row>
    <row r="304" spans="1:20" s="9" customFormat="1" ht="11.25" customHeight="1">
      <c r="A304" s="10" t="s">
        <v>2</v>
      </c>
      <c r="B304" s="5"/>
      <c r="C304" s="5"/>
      <c r="D304" s="8"/>
      <c r="E304" s="11"/>
      <c r="F304" s="7"/>
      <c r="G304" s="130" t="s">
        <v>85</v>
      </c>
      <c r="H304" s="130"/>
      <c r="I304" s="130"/>
      <c r="J304" s="6"/>
      <c r="K304" s="6"/>
      <c r="L304" s="131"/>
      <c r="M304" s="131"/>
      <c r="N304" s="132"/>
      <c r="O304" s="132"/>
      <c r="P304" s="132"/>
      <c r="Q304" s="132"/>
      <c r="R304" s="6"/>
      <c r="S304" s="6"/>
      <c r="T304" s="6"/>
    </row>
    <row r="305" spans="1:20" s="9" customFormat="1" ht="11.25" customHeight="1">
      <c r="A305" s="5"/>
      <c r="B305" s="5"/>
      <c r="C305" s="5"/>
      <c r="D305" s="131" t="s">
        <v>4</v>
      </c>
      <c r="E305" s="131"/>
      <c r="F305" s="131"/>
      <c r="G305" s="12">
        <v>2</v>
      </c>
      <c r="H305" s="6"/>
      <c r="I305" s="8"/>
      <c r="J305" s="8"/>
      <c r="K305" s="8"/>
      <c r="L305" s="131"/>
      <c r="M305" s="131"/>
      <c r="N305" s="130"/>
      <c r="O305" s="130"/>
      <c r="P305" s="130"/>
      <c r="Q305" s="130"/>
      <c r="R305" s="130"/>
      <c r="S305" s="130"/>
      <c r="T305" s="130"/>
    </row>
    <row r="306" spans="1:20" s="9" customFormat="1" ht="21.75" customHeight="1">
      <c r="A306" s="133" t="s">
        <v>54</v>
      </c>
      <c r="B306" s="133" t="s">
        <v>55</v>
      </c>
      <c r="C306" s="133"/>
      <c r="D306" s="133" t="s">
        <v>7</v>
      </c>
      <c r="E306" s="75"/>
      <c r="F306" s="133" t="s">
        <v>8</v>
      </c>
      <c r="G306" s="133"/>
      <c r="H306" s="133"/>
      <c r="I306" s="133" t="s">
        <v>9</v>
      </c>
      <c r="J306" s="133" t="s">
        <v>10</v>
      </c>
      <c r="K306" s="133"/>
      <c r="L306" s="133"/>
      <c r="M306" s="133"/>
      <c r="N306" s="133"/>
      <c r="O306" s="133" t="s">
        <v>11</v>
      </c>
      <c r="P306" s="133"/>
      <c r="Q306" s="133"/>
      <c r="R306" s="133"/>
      <c r="S306" s="133"/>
      <c r="T306" s="133"/>
    </row>
    <row r="307" spans="1:20" s="9" customFormat="1" ht="21" customHeight="1">
      <c r="A307" s="133"/>
      <c r="B307" s="133"/>
      <c r="C307" s="133"/>
      <c r="D307" s="133"/>
      <c r="E307" s="15"/>
      <c r="F307" s="16" t="s">
        <v>12</v>
      </c>
      <c r="G307" s="13" t="s">
        <v>13</v>
      </c>
      <c r="H307" s="13" t="s">
        <v>14</v>
      </c>
      <c r="I307" s="133"/>
      <c r="J307" s="13" t="s">
        <v>15</v>
      </c>
      <c r="K307" s="13" t="s">
        <v>16</v>
      </c>
      <c r="L307" s="13" t="s">
        <v>17</v>
      </c>
      <c r="M307" s="13" t="s">
        <v>18</v>
      </c>
      <c r="N307" s="13" t="s">
        <v>19</v>
      </c>
      <c r="O307" s="13" t="s">
        <v>20</v>
      </c>
      <c r="P307" s="13" t="s">
        <v>21</v>
      </c>
      <c r="Q307" s="13" t="s">
        <v>22</v>
      </c>
      <c r="R307" s="13" t="s">
        <v>23</v>
      </c>
      <c r="S307" s="13" t="s">
        <v>24</v>
      </c>
      <c r="T307" s="13" t="s">
        <v>25</v>
      </c>
    </row>
    <row r="308" spans="1:20" s="9" customFormat="1" ht="11.25" customHeight="1">
      <c r="A308" s="17">
        <v>1</v>
      </c>
      <c r="B308" s="142">
        <v>2</v>
      </c>
      <c r="C308" s="142"/>
      <c r="D308" s="18">
        <v>3</v>
      </c>
      <c r="E308" s="19"/>
      <c r="F308" s="18">
        <v>4</v>
      </c>
      <c r="G308" s="18">
        <v>5</v>
      </c>
      <c r="H308" s="18">
        <v>6</v>
      </c>
      <c r="I308" s="18">
        <v>7</v>
      </c>
      <c r="J308" s="18">
        <v>8</v>
      </c>
      <c r="K308" s="18">
        <v>9</v>
      </c>
      <c r="L308" s="18">
        <v>10</v>
      </c>
      <c r="M308" s="18">
        <v>11</v>
      </c>
      <c r="N308" s="18">
        <v>12</v>
      </c>
      <c r="O308" s="18">
        <v>13</v>
      </c>
      <c r="P308" s="18">
        <v>14</v>
      </c>
      <c r="Q308" s="18">
        <v>15</v>
      </c>
      <c r="R308" s="18">
        <v>16</v>
      </c>
      <c r="S308" s="18">
        <v>17</v>
      </c>
      <c r="T308" s="18">
        <v>18</v>
      </c>
    </row>
    <row r="309" spans="1:20" s="9" customFormat="1" ht="11.25" customHeight="1">
      <c r="A309" s="143" t="s">
        <v>26</v>
      </c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</row>
    <row r="310" spans="1:20" s="9" customFormat="1" ht="11.25" customHeight="1">
      <c r="A310" s="20">
        <v>15</v>
      </c>
      <c r="B310" s="137" t="s">
        <v>27</v>
      </c>
      <c r="C310" s="137"/>
      <c r="D310" s="21" t="s">
        <v>28</v>
      </c>
      <c r="E310" s="22">
        <v>11.25</v>
      </c>
      <c r="F310" s="118">
        <v>0.46</v>
      </c>
      <c r="G310" s="118">
        <v>0.68</v>
      </c>
      <c r="H310" s="118">
        <v>0</v>
      </c>
      <c r="I310" s="118">
        <v>7.98</v>
      </c>
      <c r="J310" s="118">
        <v>0</v>
      </c>
      <c r="K310" s="118">
        <v>0.01</v>
      </c>
      <c r="L310" s="118">
        <v>0.01</v>
      </c>
      <c r="M310" s="118">
        <v>0.005</v>
      </c>
      <c r="N310" s="118">
        <v>0.01</v>
      </c>
      <c r="O310" s="118">
        <v>17.6</v>
      </c>
      <c r="P310" s="118">
        <v>10</v>
      </c>
      <c r="Q310" s="118">
        <v>0.08</v>
      </c>
      <c r="R310" s="118">
        <v>0.004</v>
      </c>
      <c r="S310" s="118">
        <v>0.7</v>
      </c>
      <c r="T310" s="118">
        <v>0.03</v>
      </c>
    </row>
    <row r="311" spans="1:20" s="6" customFormat="1" ht="15" customHeight="1">
      <c r="A311" s="125">
        <v>173</v>
      </c>
      <c r="B311" s="127" t="s">
        <v>29</v>
      </c>
      <c r="C311" s="127"/>
      <c r="D311" s="117">
        <v>200</v>
      </c>
      <c r="E311" s="118">
        <v>21.54</v>
      </c>
      <c r="F311" s="23">
        <v>7.3</v>
      </c>
      <c r="G311" s="23">
        <v>12.5</v>
      </c>
      <c r="H311" s="23">
        <v>54.3</v>
      </c>
      <c r="I311" s="23">
        <f>F311*4+G311*9+H311*4</f>
        <v>358.9</v>
      </c>
      <c r="J311" s="23">
        <v>0.14</v>
      </c>
      <c r="K311" s="23">
        <v>0.18</v>
      </c>
      <c r="L311" s="23">
        <v>3.35</v>
      </c>
      <c r="M311" s="23">
        <v>0.037</v>
      </c>
      <c r="N311" s="23">
        <v>1.3</v>
      </c>
      <c r="O311" s="23">
        <v>147.6</v>
      </c>
      <c r="P311" s="23">
        <v>198.6</v>
      </c>
      <c r="Q311" s="23">
        <v>0</v>
      </c>
      <c r="R311" s="23">
        <v>0</v>
      </c>
      <c r="S311" s="23">
        <v>57.8</v>
      </c>
      <c r="T311" s="23">
        <v>1.3</v>
      </c>
    </row>
    <row r="312" spans="1:20" s="6" customFormat="1" ht="12.75" customHeight="1">
      <c r="A312" s="111">
        <v>377</v>
      </c>
      <c r="B312" s="139" t="s">
        <v>48</v>
      </c>
      <c r="C312" s="139"/>
      <c r="D312" s="112">
        <v>200</v>
      </c>
      <c r="E312" s="119">
        <v>3.3</v>
      </c>
      <c r="F312" s="109">
        <v>0.26</v>
      </c>
      <c r="G312" s="109">
        <v>0.06</v>
      </c>
      <c r="H312" s="109">
        <v>15.22</v>
      </c>
      <c r="I312" s="109">
        <v>62.46</v>
      </c>
      <c r="J312" s="109">
        <v>0</v>
      </c>
      <c r="K312" s="109">
        <v>0.01</v>
      </c>
      <c r="L312" s="109">
        <v>2.9</v>
      </c>
      <c r="M312" s="109">
        <v>0</v>
      </c>
      <c r="N312" s="109">
        <v>0.06</v>
      </c>
      <c r="O312" s="109">
        <v>8.05</v>
      </c>
      <c r="P312" s="109">
        <v>9.78</v>
      </c>
      <c r="Q312" s="109">
        <v>0.017</v>
      </c>
      <c r="R312" s="109">
        <v>0</v>
      </c>
      <c r="S312" s="109">
        <v>5.24</v>
      </c>
      <c r="T312" s="109">
        <v>0.87</v>
      </c>
    </row>
    <row r="313" spans="1:20" s="6" customFormat="1" ht="11.25" customHeight="1">
      <c r="A313" s="51" t="s">
        <v>30</v>
      </c>
      <c r="B313" s="127" t="s">
        <v>44</v>
      </c>
      <c r="C313" s="127"/>
      <c r="D313" s="117">
        <v>130</v>
      </c>
      <c r="E313" s="118">
        <v>31.2</v>
      </c>
      <c r="F313" s="28">
        <v>0.9</v>
      </c>
      <c r="G313" s="28">
        <v>0.2</v>
      </c>
      <c r="H313" s="28">
        <v>8.1</v>
      </c>
      <c r="I313" s="28">
        <v>136.6</v>
      </c>
      <c r="J313" s="28">
        <v>0.04</v>
      </c>
      <c r="K313" s="28">
        <v>0.03</v>
      </c>
      <c r="L313" s="28">
        <v>60</v>
      </c>
      <c r="M313" s="28">
        <v>0</v>
      </c>
      <c r="N313" s="28">
        <v>0.2</v>
      </c>
      <c r="O313" s="28">
        <v>34</v>
      </c>
      <c r="P313" s="28">
        <v>23</v>
      </c>
      <c r="Q313" s="28">
        <v>0.2</v>
      </c>
      <c r="R313" s="28">
        <v>0</v>
      </c>
      <c r="S313" s="28">
        <v>15</v>
      </c>
      <c r="T313" s="28">
        <v>0.3</v>
      </c>
    </row>
    <row r="314" spans="1:20" s="6" customFormat="1" ht="11.25" customHeight="1">
      <c r="A314" s="26" t="s">
        <v>30</v>
      </c>
      <c r="B314" s="140" t="s">
        <v>31</v>
      </c>
      <c r="C314" s="140"/>
      <c r="D314" s="27" t="s">
        <v>32</v>
      </c>
      <c r="E314" s="118"/>
      <c r="F314" s="30">
        <v>5.6</v>
      </c>
      <c r="G314" s="30">
        <v>6.4</v>
      </c>
      <c r="H314" s="30">
        <v>9.4</v>
      </c>
      <c r="I314" s="30">
        <v>117.6</v>
      </c>
      <c r="J314" s="30">
        <v>0.08</v>
      </c>
      <c r="K314" s="30">
        <v>0.307</v>
      </c>
      <c r="L314" s="30">
        <v>2.6</v>
      </c>
      <c r="M314" s="30">
        <v>0.067</v>
      </c>
      <c r="N314" s="30">
        <v>0.292</v>
      </c>
      <c r="O314" s="30">
        <v>240</v>
      </c>
      <c r="P314" s="30">
        <v>180</v>
      </c>
      <c r="Q314" s="30">
        <v>0.8</v>
      </c>
      <c r="R314" s="30">
        <v>0.018</v>
      </c>
      <c r="S314" s="30">
        <v>28</v>
      </c>
      <c r="T314" s="30">
        <v>0.12</v>
      </c>
    </row>
    <row r="315" spans="1:25" s="6" customFormat="1" ht="11.25" customHeight="1">
      <c r="A315" s="54" t="s">
        <v>34</v>
      </c>
      <c r="B315" s="55"/>
      <c r="C315" s="55"/>
      <c r="D315" s="34">
        <v>585</v>
      </c>
      <c r="E315" s="35">
        <f>SUM(E310:E314)</f>
        <v>67.28999999999999</v>
      </c>
      <c r="F315" s="36">
        <f>SUM(F310:F314)</f>
        <v>14.52</v>
      </c>
      <c r="G315" s="36">
        <f aca="true" t="shared" si="72" ref="G315:T315">SUM(G310:G314)</f>
        <v>19.84</v>
      </c>
      <c r="H315" s="36">
        <f t="shared" si="72"/>
        <v>87.02</v>
      </c>
      <c r="I315" s="36">
        <f t="shared" si="72"/>
        <v>683.54</v>
      </c>
      <c r="J315" s="36">
        <f t="shared" si="72"/>
        <v>0.26</v>
      </c>
      <c r="K315" s="36">
        <f t="shared" si="72"/>
        <v>0.537</v>
      </c>
      <c r="L315" s="36">
        <f t="shared" si="72"/>
        <v>68.86</v>
      </c>
      <c r="M315" s="36">
        <f t="shared" si="72"/>
        <v>0.109</v>
      </c>
      <c r="N315" s="36">
        <f t="shared" si="72"/>
        <v>1.862</v>
      </c>
      <c r="O315" s="36">
        <f t="shared" si="72"/>
        <v>447.25</v>
      </c>
      <c r="P315" s="36">
        <f t="shared" si="72"/>
        <v>421.38</v>
      </c>
      <c r="Q315" s="36">
        <f t="shared" si="72"/>
        <v>1.097</v>
      </c>
      <c r="R315" s="36">
        <f t="shared" si="72"/>
        <v>0.022</v>
      </c>
      <c r="S315" s="36">
        <f t="shared" si="72"/>
        <v>106.74000000000001</v>
      </c>
      <c r="T315" s="36">
        <f t="shared" si="72"/>
        <v>2.62</v>
      </c>
      <c r="Y315" s="123"/>
    </row>
    <row r="316" spans="1:20" s="6" customFormat="1" ht="11.25" customHeight="1">
      <c r="A316" s="166" t="s">
        <v>35</v>
      </c>
      <c r="B316" s="167"/>
      <c r="C316" s="167"/>
      <c r="D316" s="168"/>
      <c r="E316" s="69"/>
      <c r="F316" s="80">
        <f aca="true" t="shared" si="73" ref="F316:T316">F315/F333</f>
        <v>0.16133333333333333</v>
      </c>
      <c r="G316" s="59">
        <f t="shared" si="73"/>
        <v>0.21565217391304348</v>
      </c>
      <c r="H316" s="59">
        <f t="shared" si="73"/>
        <v>0.22720626631853785</v>
      </c>
      <c r="I316" s="59">
        <f t="shared" si="73"/>
        <v>0.25130147058823527</v>
      </c>
      <c r="J316" s="59">
        <f t="shared" si="73"/>
        <v>0.18571428571428572</v>
      </c>
      <c r="K316" s="59">
        <f t="shared" si="73"/>
        <v>0.335625</v>
      </c>
      <c r="L316" s="59">
        <f t="shared" si="73"/>
        <v>0.9837142857142857</v>
      </c>
      <c r="M316" s="59">
        <f t="shared" si="73"/>
        <v>0.12111111111111111</v>
      </c>
      <c r="N316" s="59">
        <f t="shared" si="73"/>
        <v>0.15516666666666667</v>
      </c>
      <c r="O316" s="59">
        <f t="shared" si="73"/>
        <v>0.3727083333333333</v>
      </c>
      <c r="P316" s="59">
        <f t="shared" si="73"/>
        <v>0.35115</v>
      </c>
      <c r="Q316" s="59">
        <f t="shared" si="73"/>
        <v>0.07835714285714286</v>
      </c>
      <c r="R316" s="59">
        <f t="shared" si="73"/>
        <v>0.21999999999999997</v>
      </c>
      <c r="S316" s="59">
        <f t="shared" si="73"/>
        <v>0.3558</v>
      </c>
      <c r="T316" s="59">
        <f t="shared" si="73"/>
        <v>0.14555555555555555</v>
      </c>
    </row>
    <row r="317" spans="1:20" s="6" customFormat="1" ht="11.25" customHeight="1">
      <c r="A317" s="169" t="s">
        <v>36</v>
      </c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1"/>
    </row>
    <row r="318" spans="1:20" s="6" customFormat="1" ht="22.5" customHeight="1">
      <c r="A318" s="17">
        <v>24</v>
      </c>
      <c r="B318" s="150" t="s">
        <v>73</v>
      </c>
      <c r="C318" s="172"/>
      <c r="D318" s="24">
        <v>60</v>
      </c>
      <c r="E318" s="23">
        <v>6.9</v>
      </c>
      <c r="F318" s="28">
        <v>0.59</v>
      </c>
      <c r="G318" s="28">
        <v>3.69</v>
      </c>
      <c r="H318" s="28">
        <v>2.24</v>
      </c>
      <c r="I318" s="28">
        <v>44.52</v>
      </c>
      <c r="J318" s="28">
        <v>0.03</v>
      </c>
      <c r="K318" s="28">
        <v>0.03333333333333333</v>
      </c>
      <c r="L318" s="28">
        <v>10.06</v>
      </c>
      <c r="M318" s="28">
        <v>0</v>
      </c>
      <c r="N318" s="28">
        <v>1.25</v>
      </c>
      <c r="O318" s="28">
        <v>11.21</v>
      </c>
      <c r="P318" s="28">
        <v>20.77</v>
      </c>
      <c r="Q318" s="28">
        <v>0.25</v>
      </c>
      <c r="R318" s="28">
        <v>0.0016666666666666668</v>
      </c>
      <c r="S318" s="28">
        <v>9.76</v>
      </c>
      <c r="T318" s="28">
        <v>0.44</v>
      </c>
    </row>
    <row r="319" spans="1:20" s="6" customFormat="1" ht="22.5" customHeight="1">
      <c r="A319" s="17">
        <v>113</v>
      </c>
      <c r="B319" s="153" t="s">
        <v>116</v>
      </c>
      <c r="C319" s="154"/>
      <c r="D319" s="24">
        <v>250</v>
      </c>
      <c r="E319" s="23">
        <v>9.95</v>
      </c>
      <c r="F319" s="28">
        <v>8.71</v>
      </c>
      <c r="G319" s="28">
        <v>8.77</v>
      </c>
      <c r="H319" s="28">
        <v>23.67</v>
      </c>
      <c r="I319" s="28">
        <v>208.45</v>
      </c>
      <c r="J319" s="28">
        <v>0.23</v>
      </c>
      <c r="K319" s="28">
        <v>0.21</v>
      </c>
      <c r="L319" s="28">
        <v>5.302</v>
      </c>
      <c r="M319" s="28">
        <v>1.04</v>
      </c>
      <c r="N319" s="28">
        <v>0.379</v>
      </c>
      <c r="O319" s="28">
        <v>43.8</v>
      </c>
      <c r="P319" s="28">
        <v>95.75</v>
      </c>
      <c r="Q319" s="28">
        <v>0.13</v>
      </c>
      <c r="R319" s="28">
        <v>0.001</v>
      </c>
      <c r="S319" s="28">
        <v>18.3</v>
      </c>
      <c r="T319" s="28">
        <v>1.25</v>
      </c>
    </row>
    <row r="320" spans="1:20" s="6" customFormat="1" ht="12" customHeight="1">
      <c r="A320" s="17">
        <v>295</v>
      </c>
      <c r="B320" s="153" t="s">
        <v>87</v>
      </c>
      <c r="C320" s="154"/>
      <c r="D320" s="25">
        <v>80</v>
      </c>
      <c r="E320" s="23">
        <v>30.85</v>
      </c>
      <c r="F320" s="84">
        <v>12.192</v>
      </c>
      <c r="G320" s="84">
        <v>4.64</v>
      </c>
      <c r="H320" s="84">
        <v>8.128</v>
      </c>
      <c r="I320" s="84">
        <v>250</v>
      </c>
      <c r="J320" s="84">
        <v>0.072</v>
      </c>
      <c r="K320" s="84">
        <v>0.064</v>
      </c>
      <c r="L320" s="84">
        <v>0.192</v>
      </c>
      <c r="M320" s="84">
        <v>0.0008</v>
      </c>
      <c r="N320" s="84">
        <v>0.0592</v>
      </c>
      <c r="O320" s="84">
        <v>11.223999999999998</v>
      </c>
      <c r="P320" s="84">
        <v>75.18400000000001</v>
      </c>
      <c r="Q320" s="84">
        <v>0.9359999999999999</v>
      </c>
      <c r="R320" s="84">
        <v>0.032</v>
      </c>
      <c r="S320" s="84">
        <v>12.991999999999997</v>
      </c>
      <c r="T320" s="84">
        <v>1.5119999999999998</v>
      </c>
    </row>
    <row r="321" spans="1:20" s="6" customFormat="1" ht="12.75" customHeight="1">
      <c r="A321" s="29">
        <v>171</v>
      </c>
      <c r="B321" s="127" t="s">
        <v>102</v>
      </c>
      <c r="C321" s="127"/>
      <c r="D321" s="24">
        <v>180</v>
      </c>
      <c r="E321" s="23">
        <v>14.94</v>
      </c>
      <c r="F321" s="28">
        <v>7.884</v>
      </c>
      <c r="G321" s="28">
        <v>5.028</v>
      </c>
      <c r="H321" s="28">
        <v>38.784</v>
      </c>
      <c r="I321" s="28">
        <v>231.924</v>
      </c>
      <c r="J321" s="28">
        <v>0.072</v>
      </c>
      <c r="K321" s="28">
        <v>0.036</v>
      </c>
      <c r="L321" s="28">
        <v>0</v>
      </c>
      <c r="M321" s="28">
        <v>0.036</v>
      </c>
      <c r="N321" s="28">
        <v>3.06</v>
      </c>
      <c r="O321" s="28">
        <v>21.744</v>
      </c>
      <c r="P321" s="28">
        <v>188.436</v>
      </c>
      <c r="Q321" s="28">
        <v>1.068</v>
      </c>
      <c r="R321" s="28">
        <v>0.002</v>
      </c>
      <c r="S321" s="28">
        <v>125.34</v>
      </c>
      <c r="T321" s="28">
        <v>4.26</v>
      </c>
    </row>
    <row r="322" spans="1:20" s="6" customFormat="1" ht="26.25" customHeight="1">
      <c r="A322" s="17">
        <v>345</v>
      </c>
      <c r="B322" s="127" t="s">
        <v>64</v>
      </c>
      <c r="C322" s="127"/>
      <c r="D322" s="24">
        <v>200</v>
      </c>
      <c r="E322" s="23">
        <v>5.1</v>
      </c>
      <c r="F322" s="28">
        <v>0.06</v>
      </c>
      <c r="G322" s="28">
        <v>0.02</v>
      </c>
      <c r="H322" s="28">
        <v>20.73</v>
      </c>
      <c r="I322" s="28">
        <v>83.34</v>
      </c>
      <c r="J322" s="28">
        <v>0</v>
      </c>
      <c r="K322" s="28">
        <v>0</v>
      </c>
      <c r="L322" s="28">
        <v>2.5</v>
      </c>
      <c r="M322" s="28">
        <v>0.004</v>
      </c>
      <c r="N322" s="28">
        <v>0.2</v>
      </c>
      <c r="O322" s="28">
        <v>4</v>
      </c>
      <c r="P322" s="28">
        <v>3.3</v>
      </c>
      <c r="Q322" s="28">
        <v>0.08</v>
      </c>
      <c r="R322" s="28">
        <v>0.001</v>
      </c>
      <c r="S322" s="28">
        <v>1.7</v>
      </c>
      <c r="T322" s="28">
        <v>0.15</v>
      </c>
    </row>
    <row r="323" spans="1:20" s="6" customFormat="1" ht="11.25" customHeight="1">
      <c r="A323" s="51" t="s">
        <v>30</v>
      </c>
      <c r="B323" s="127" t="s">
        <v>43</v>
      </c>
      <c r="C323" s="127"/>
      <c r="D323" s="24">
        <v>50</v>
      </c>
      <c r="E323" s="23">
        <v>2.35</v>
      </c>
      <c r="F323" s="23">
        <f>2.64*D323/40</f>
        <v>3.3</v>
      </c>
      <c r="G323" s="23">
        <f>0.48*D323/40</f>
        <v>0.6</v>
      </c>
      <c r="H323" s="23">
        <f>13.68*D323/40</f>
        <v>17.1</v>
      </c>
      <c r="I323" s="23">
        <f>F323*4+G323*9+H323*4</f>
        <v>87</v>
      </c>
      <c r="J323" s="23">
        <f>0.08*D323/40</f>
        <v>0.1</v>
      </c>
      <c r="K323" s="23">
        <f>0.04*D323/40</f>
        <v>0.05</v>
      </c>
      <c r="L323" s="23">
        <v>0</v>
      </c>
      <c r="M323" s="23">
        <v>0</v>
      </c>
      <c r="N323" s="23">
        <f>2.4*D323/40</f>
        <v>3</v>
      </c>
      <c r="O323" s="23">
        <f>14*D323/40</f>
        <v>17.5</v>
      </c>
      <c r="P323" s="23">
        <f>63.2*D323/40</f>
        <v>79</v>
      </c>
      <c r="Q323" s="23">
        <f>1.2*D323/40</f>
        <v>1.5</v>
      </c>
      <c r="R323" s="23">
        <f>0.001*D323/40</f>
        <v>0.00125</v>
      </c>
      <c r="S323" s="23">
        <f>9.4*D323/40</f>
        <v>11.75</v>
      </c>
      <c r="T323" s="23">
        <f>0.78*D323/40</f>
        <v>0.975</v>
      </c>
    </row>
    <row r="324" spans="1:20" s="6" customFormat="1" ht="11.25" customHeight="1">
      <c r="A324" s="70" t="s">
        <v>30</v>
      </c>
      <c r="B324" s="141" t="s">
        <v>44</v>
      </c>
      <c r="C324" s="141"/>
      <c r="D324" s="24">
        <v>100</v>
      </c>
      <c r="E324" s="23">
        <v>19.91</v>
      </c>
      <c r="F324" s="28">
        <v>0.9</v>
      </c>
      <c r="G324" s="28">
        <v>0.2</v>
      </c>
      <c r="H324" s="28">
        <v>8.1</v>
      </c>
      <c r="I324" s="28">
        <v>136.6</v>
      </c>
      <c r="J324" s="28">
        <v>0.04</v>
      </c>
      <c r="K324" s="28">
        <v>0.03</v>
      </c>
      <c r="L324" s="28">
        <v>60</v>
      </c>
      <c r="M324" s="28">
        <v>0</v>
      </c>
      <c r="N324" s="28">
        <v>0.2</v>
      </c>
      <c r="O324" s="28">
        <v>34</v>
      </c>
      <c r="P324" s="28">
        <v>23</v>
      </c>
      <c r="Q324" s="28">
        <v>0.2</v>
      </c>
      <c r="R324" s="28">
        <v>0</v>
      </c>
      <c r="S324" s="28">
        <v>15</v>
      </c>
      <c r="T324" s="28">
        <v>0.3</v>
      </c>
    </row>
    <row r="325" spans="1:20" s="6" customFormat="1" ht="11.25" customHeight="1">
      <c r="A325" s="54" t="s">
        <v>45</v>
      </c>
      <c r="B325" s="55"/>
      <c r="C325" s="55"/>
      <c r="D325" s="34">
        <f>SUM(D318:D324)</f>
        <v>920</v>
      </c>
      <c r="E325" s="35">
        <f>SUM(E318:E324)</f>
        <v>89.99999999999999</v>
      </c>
      <c r="F325" s="36">
        <f>SUM(F318:F324)</f>
        <v>33.635999999999996</v>
      </c>
      <c r="G325" s="36">
        <f aca="true" t="shared" si="74" ref="G325:T325">SUM(G318:G324)</f>
        <v>22.947999999999997</v>
      </c>
      <c r="H325" s="36">
        <f t="shared" si="74"/>
        <v>118.75200000000001</v>
      </c>
      <c r="I325" s="36">
        <f t="shared" si="74"/>
        <v>1041.834</v>
      </c>
      <c r="J325" s="36">
        <f t="shared" si="74"/>
        <v>0.544</v>
      </c>
      <c r="K325" s="36">
        <f t="shared" si="74"/>
        <v>0.42333333333333334</v>
      </c>
      <c r="L325" s="36">
        <f t="shared" si="74"/>
        <v>78.054</v>
      </c>
      <c r="M325" s="36">
        <f t="shared" si="74"/>
        <v>1.0808</v>
      </c>
      <c r="N325" s="36">
        <f t="shared" si="74"/>
        <v>8.1482</v>
      </c>
      <c r="O325" s="36">
        <f t="shared" si="74"/>
        <v>143.478</v>
      </c>
      <c r="P325" s="36">
        <f t="shared" si="74"/>
        <v>485.44</v>
      </c>
      <c r="Q325" s="36">
        <f t="shared" si="74"/>
        <v>4.164</v>
      </c>
      <c r="R325" s="36">
        <f t="shared" si="74"/>
        <v>0.03891666666666667</v>
      </c>
      <c r="S325" s="36">
        <f t="shared" si="74"/>
        <v>194.84199999999998</v>
      </c>
      <c r="T325" s="36">
        <f t="shared" si="74"/>
        <v>8.887</v>
      </c>
    </row>
    <row r="326" spans="1:20" s="6" customFormat="1" ht="11.25" customHeight="1">
      <c r="A326" s="148" t="s">
        <v>35</v>
      </c>
      <c r="B326" s="148"/>
      <c r="C326" s="148"/>
      <c r="D326" s="148"/>
      <c r="E326" s="39"/>
      <c r="F326" s="58">
        <f aca="true" t="shared" si="75" ref="F326:T326">F325/F333</f>
        <v>0.3737333333333333</v>
      </c>
      <c r="G326" s="59">
        <f t="shared" si="75"/>
        <v>0.24943478260869562</v>
      </c>
      <c r="H326" s="59">
        <f t="shared" si="75"/>
        <v>0.31005744125326373</v>
      </c>
      <c r="I326" s="59">
        <f t="shared" si="75"/>
        <v>0.38302720588235295</v>
      </c>
      <c r="J326" s="59">
        <f t="shared" si="75"/>
        <v>0.3885714285714286</v>
      </c>
      <c r="K326" s="59">
        <f t="shared" si="75"/>
        <v>0.26458333333333334</v>
      </c>
      <c r="L326" s="59">
        <f t="shared" si="75"/>
        <v>1.115057142857143</v>
      </c>
      <c r="M326" s="59">
        <f t="shared" si="75"/>
        <v>1.200888888888889</v>
      </c>
      <c r="N326" s="59">
        <f t="shared" si="75"/>
        <v>0.6790166666666666</v>
      </c>
      <c r="O326" s="59">
        <f t="shared" si="75"/>
        <v>0.119565</v>
      </c>
      <c r="P326" s="59">
        <f t="shared" si="75"/>
        <v>0.40453333333333336</v>
      </c>
      <c r="Q326" s="59">
        <f t="shared" si="75"/>
        <v>0.29742857142857143</v>
      </c>
      <c r="R326" s="59">
        <f t="shared" si="75"/>
        <v>0.38916666666666666</v>
      </c>
      <c r="S326" s="59">
        <f t="shared" si="75"/>
        <v>0.6494733333333332</v>
      </c>
      <c r="T326" s="59">
        <f t="shared" si="75"/>
        <v>0.49372222222222223</v>
      </c>
    </row>
    <row r="327" spans="1:20" s="6" customFormat="1" ht="11.25" customHeight="1">
      <c r="A327" s="143" t="s">
        <v>46</v>
      </c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</row>
    <row r="328" spans="1:20" s="6" customFormat="1" ht="11.25" customHeight="1">
      <c r="A328" s="20"/>
      <c r="B328" s="127" t="s">
        <v>117</v>
      </c>
      <c r="C328" s="127"/>
      <c r="D328" s="25" t="s">
        <v>97</v>
      </c>
      <c r="E328" s="23">
        <v>26.7</v>
      </c>
      <c r="F328" s="23">
        <v>0.4</v>
      </c>
      <c r="G328" s="23">
        <v>0.4</v>
      </c>
      <c r="H328" s="23">
        <v>9.8</v>
      </c>
      <c r="I328" s="23">
        <f>F328*4+G328*9+H328*4</f>
        <v>44.400000000000006</v>
      </c>
      <c r="J328" s="23">
        <v>0.04</v>
      </c>
      <c r="K328" s="23">
        <v>0.02</v>
      </c>
      <c r="L328" s="23">
        <v>10</v>
      </c>
      <c r="M328" s="23">
        <v>0.02</v>
      </c>
      <c r="N328" s="23">
        <v>0.2</v>
      </c>
      <c r="O328" s="23">
        <v>16</v>
      </c>
      <c r="P328" s="23">
        <v>11</v>
      </c>
      <c r="Q328" s="23">
        <v>0.03</v>
      </c>
      <c r="R328" s="23">
        <v>0.002</v>
      </c>
      <c r="S328" s="23">
        <v>9</v>
      </c>
      <c r="T328" s="23">
        <v>2.2</v>
      </c>
    </row>
    <row r="329" spans="1:20" s="6" customFormat="1" ht="11.25" customHeight="1">
      <c r="A329" s="31">
        <v>377</v>
      </c>
      <c r="B329" s="134" t="s">
        <v>48</v>
      </c>
      <c r="C329" s="134"/>
      <c r="D329" s="50">
        <v>200</v>
      </c>
      <c r="E329" s="28">
        <v>3.3</v>
      </c>
      <c r="F329" s="109">
        <v>0.26</v>
      </c>
      <c r="G329" s="109">
        <v>0.06</v>
      </c>
      <c r="H329" s="109">
        <v>15.22</v>
      </c>
      <c r="I329" s="109">
        <v>62.46</v>
      </c>
      <c r="J329" s="109">
        <v>0</v>
      </c>
      <c r="K329" s="109">
        <v>0.01</v>
      </c>
      <c r="L329" s="109">
        <v>2.9</v>
      </c>
      <c r="M329" s="109">
        <v>0</v>
      </c>
      <c r="N329" s="109">
        <v>0.06</v>
      </c>
      <c r="O329" s="109">
        <v>8.05</v>
      </c>
      <c r="P329" s="109">
        <v>9.78</v>
      </c>
      <c r="Q329" s="109">
        <v>0.017</v>
      </c>
      <c r="R329" s="109">
        <v>0</v>
      </c>
      <c r="S329" s="109">
        <v>5.24</v>
      </c>
      <c r="T329" s="109">
        <v>0.87</v>
      </c>
    </row>
    <row r="330" spans="1:20" s="9" customFormat="1" ht="11.25" customHeight="1">
      <c r="A330" s="54" t="s">
        <v>49</v>
      </c>
      <c r="B330" s="55"/>
      <c r="C330" s="55"/>
      <c r="D330" s="34">
        <v>340</v>
      </c>
      <c r="E330" s="35">
        <f>SUM(E328:E329)</f>
        <v>30</v>
      </c>
      <c r="F330" s="36">
        <f>SUM(F328:F329)</f>
        <v>0.66</v>
      </c>
      <c r="G330" s="36">
        <f aca="true" t="shared" si="76" ref="G330:T330">SUM(G328:G329)</f>
        <v>0.46</v>
      </c>
      <c r="H330" s="36">
        <f t="shared" si="76"/>
        <v>25.020000000000003</v>
      </c>
      <c r="I330" s="36">
        <f t="shared" si="76"/>
        <v>106.86000000000001</v>
      </c>
      <c r="J330" s="36">
        <f t="shared" si="76"/>
        <v>0.04</v>
      </c>
      <c r="K330" s="36">
        <f t="shared" si="76"/>
        <v>0.03</v>
      </c>
      <c r="L330" s="36">
        <f t="shared" si="76"/>
        <v>12.9</v>
      </c>
      <c r="M330" s="36">
        <f t="shared" si="76"/>
        <v>0.02</v>
      </c>
      <c r="N330" s="36">
        <f t="shared" si="76"/>
        <v>0.26</v>
      </c>
      <c r="O330" s="36">
        <f t="shared" si="76"/>
        <v>24.05</v>
      </c>
      <c r="P330" s="36">
        <f t="shared" si="76"/>
        <v>20.78</v>
      </c>
      <c r="Q330" s="36">
        <f t="shared" si="76"/>
        <v>0.047</v>
      </c>
      <c r="R330" s="36">
        <f t="shared" si="76"/>
        <v>0.002</v>
      </c>
      <c r="S330" s="36">
        <f t="shared" si="76"/>
        <v>14.24</v>
      </c>
      <c r="T330" s="36">
        <f t="shared" si="76"/>
        <v>3.0700000000000003</v>
      </c>
    </row>
    <row r="331" spans="1:20" s="9" customFormat="1" ht="11.25" customHeight="1">
      <c r="A331" s="148" t="s">
        <v>35</v>
      </c>
      <c r="B331" s="148"/>
      <c r="C331" s="148"/>
      <c r="D331" s="148"/>
      <c r="E331" s="39"/>
      <c r="F331" s="58">
        <f aca="true" t="shared" si="77" ref="F331:T331">F330/F333</f>
        <v>0.007333333333333334</v>
      </c>
      <c r="G331" s="59">
        <f t="shared" si="77"/>
        <v>0.005</v>
      </c>
      <c r="H331" s="59">
        <f t="shared" si="77"/>
        <v>0.06532637075718016</v>
      </c>
      <c r="I331" s="59">
        <f t="shared" si="77"/>
        <v>0.03928676470588236</v>
      </c>
      <c r="J331" s="59">
        <f t="shared" si="77"/>
        <v>0.028571428571428574</v>
      </c>
      <c r="K331" s="59">
        <f t="shared" si="77"/>
        <v>0.01875</v>
      </c>
      <c r="L331" s="59">
        <f t="shared" si="77"/>
        <v>0.1842857142857143</v>
      </c>
      <c r="M331" s="59">
        <f t="shared" si="77"/>
        <v>0.022222222222222223</v>
      </c>
      <c r="N331" s="59">
        <f t="shared" si="77"/>
        <v>0.021666666666666667</v>
      </c>
      <c r="O331" s="59">
        <f t="shared" si="77"/>
        <v>0.020041666666666666</v>
      </c>
      <c r="P331" s="59">
        <f t="shared" si="77"/>
        <v>0.017316666666666668</v>
      </c>
      <c r="Q331" s="59">
        <f t="shared" si="77"/>
        <v>0.003357142857142857</v>
      </c>
      <c r="R331" s="59">
        <f t="shared" si="77"/>
        <v>0.02</v>
      </c>
      <c r="S331" s="59">
        <f t="shared" si="77"/>
        <v>0.047466666666666664</v>
      </c>
      <c r="T331" s="59">
        <f t="shared" si="77"/>
        <v>0.17055555555555557</v>
      </c>
    </row>
    <row r="332" spans="1:20" s="9" customFormat="1" ht="11.25" customHeight="1">
      <c r="A332" s="138" t="s">
        <v>50</v>
      </c>
      <c r="B332" s="138"/>
      <c r="C332" s="138"/>
      <c r="D332" s="138"/>
      <c r="E332" s="39"/>
      <c r="F332" s="36">
        <f aca="true" t="shared" si="78" ref="F332:T332">SUM(F315,F325,F330)</f>
        <v>48.81599999999999</v>
      </c>
      <c r="G332" s="37">
        <f t="shared" si="78"/>
        <v>43.248</v>
      </c>
      <c r="H332" s="37">
        <f t="shared" si="78"/>
        <v>230.792</v>
      </c>
      <c r="I332" s="37">
        <f t="shared" si="78"/>
        <v>1832.234</v>
      </c>
      <c r="J332" s="36">
        <f t="shared" si="78"/>
        <v>0.8440000000000001</v>
      </c>
      <c r="K332" s="36">
        <f t="shared" si="78"/>
        <v>0.9903333333333334</v>
      </c>
      <c r="L332" s="37">
        <f t="shared" si="78"/>
        <v>159.814</v>
      </c>
      <c r="M332" s="36">
        <f t="shared" si="78"/>
        <v>1.2098</v>
      </c>
      <c r="N332" s="36">
        <f t="shared" si="78"/>
        <v>10.270199999999999</v>
      </c>
      <c r="O332" s="37">
        <f t="shared" si="78"/>
        <v>614.778</v>
      </c>
      <c r="P332" s="37">
        <f t="shared" si="78"/>
        <v>927.5999999999999</v>
      </c>
      <c r="Q332" s="36">
        <f t="shared" si="78"/>
        <v>5.307999999999999</v>
      </c>
      <c r="R332" s="38">
        <f t="shared" si="78"/>
        <v>0.06291666666666666</v>
      </c>
      <c r="S332" s="36">
        <f t="shared" si="78"/>
        <v>315.822</v>
      </c>
      <c r="T332" s="36">
        <f t="shared" si="78"/>
        <v>14.577000000000002</v>
      </c>
    </row>
    <row r="333" spans="1:20" s="9" customFormat="1" ht="11.25" customHeight="1">
      <c r="A333" s="138" t="s">
        <v>51</v>
      </c>
      <c r="B333" s="138"/>
      <c r="C333" s="138"/>
      <c r="D333" s="138"/>
      <c r="E333" s="39"/>
      <c r="F333" s="23">
        <v>90</v>
      </c>
      <c r="G333" s="53">
        <v>92</v>
      </c>
      <c r="H333" s="53">
        <v>383</v>
      </c>
      <c r="I333" s="53">
        <v>2720</v>
      </c>
      <c r="J333" s="23">
        <v>1.4</v>
      </c>
      <c r="K333" s="23">
        <v>1.6</v>
      </c>
      <c r="L333" s="24">
        <v>70</v>
      </c>
      <c r="M333" s="23">
        <v>0.9</v>
      </c>
      <c r="N333" s="24">
        <v>12</v>
      </c>
      <c r="O333" s="24">
        <v>1200</v>
      </c>
      <c r="P333" s="24">
        <v>1200</v>
      </c>
      <c r="Q333" s="24">
        <v>14</v>
      </c>
      <c r="R333" s="53">
        <v>0.1</v>
      </c>
      <c r="S333" s="24">
        <v>300</v>
      </c>
      <c r="T333" s="23">
        <v>18</v>
      </c>
    </row>
    <row r="334" spans="1:20" s="9" customFormat="1" ht="11.25" customHeight="1">
      <c r="A334" s="148" t="s">
        <v>35</v>
      </c>
      <c r="B334" s="148"/>
      <c r="C334" s="148"/>
      <c r="D334" s="148"/>
      <c r="E334" s="39"/>
      <c r="F334" s="58">
        <f aca="true" t="shared" si="79" ref="F334:T334">F332/F333</f>
        <v>0.5423999999999999</v>
      </c>
      <c r="G334" s="59">
        <f t="shared" si="79"/>
        <v>0.4700869565217391</v>
      </c>
      <c r="H334" s="59">
        <f t="shared" si="79"/>
        <v>0.6025900783289817</v>
      </c>
      <c r="I334" s="59">
        <f t="shared" si="79"/>
        <v>0.6736154411764705</v>
      </c>
      <c r="J334" s="59">
        <f t="shared" si="79"/>
        <v>0.602857142857143</v>
      </c>
      <c r="K334" s="59">
        <f t="shared" si="79"/>
        <v>0.6189583333333334</v>
      </c>
      <c r="L334" s="59">
        <f t="shared" si="79"/>
        <v>2.283057142857143</v>
      </c>
      <c r="M334" s="60">
        <f t="shared" si="79"/>
        <v>1.3442222222222222</v>
      </c>
      <c r="N334" s="59">
        <f t="shared" si="79"/>
        <v>0.8558499999999999</v>
      </c>
      <c r="O334" s="59">
        <f t="shared" si="79"/>
        <v>0.512315</v>
      </c>
      <c r="P334" s="59">
        <f t="shared" si="79"/>
        <v>0.7729999999999999</v>
      </c>
      <c r="Q334" s="59">
        <f t="shared" si="79"/>
        <v>0.37914285714285706</v>
      </c>
      <c r="R334" s="60">
        <f t="shared" si="79"/>
        <v>0.6291666666666665</v>
      </c>
      <c r="S334" s="59">
        <f t="shared" si="79"/>
        <v>1.05274</v>
      </c>
      <c r="T334" s="60">
        <f t="shared" si="79"/>
        <v>0.8098333333333334</v>
      </c>
    </row>
    <row r="335" spans="1:20" s="9" customFormat="1" ht="11.25" customHeight="1">
      <c r="A335" s="5" t="s">
        <v>67</v>
      </c>
      <c r="B335" s="5"/>
      <c r="C335" s="61"/>
      <c r="D335" s="61"/>
      <c r="E335" s="62"/>
      <c r="F335" s="11"/>
      <c r="G335" s="6"/>
      <c r="H335" s="8"/>
      <c r="I335" s="8"/>
      <c r="J335" s="6"/>
      <c r="K335" s="6"/>
      <c r="L335" s="6"/>
      <c r="M335" s="128" t="s">
        <v>0</v>
      </c>
      <c r="N335" s="128"/>
      <c r="O335" s="128"/>
      <c r="P335" s="128"/>
      <c r="Q335" s="128"/>
      <c r="R335" s="128"/>
      <c r="S335" s="128"/>
      <c r="T335" s="128"/>
    </row>
    <row r="336" spans="1:20" s="9" customFormat="1" ht="11.25" customHeight="1">
      <c r="A336" s="5"/>
      <c r="B336" s="5"/>
      <c r="C336" s="61"/>
      <c r="D336" s="61"/>
      <c r="E336" s="62"/>
      <c r="F336" s="11"/>
      <c r="G336" s="6"/>
      <c r="H336" s="8"/>
      <c r="I336" s="8"/>
      <c r="J336" s="6"/>
      <c r="K336" s="6"/>
      <c r="L336" s="6"/>
      <c r="M336" s="74"/>
      <c r="N336" s="74"/>
      <c r="O336" s="74"/>
      <c r="P336" s="74"/>
      <c r="Q336" s="74"/>
      <c r="R336" s="74"/>
      <c r="S336" s="74"/>
      <c r="T336" s="74"/>
    </row>
    <row r="337" spans="1:20" ht="11.25" customHeight="1">
      <c r="A337" s="5"/>
      <c r="B337" s="5"/>
      <c r="C337" s="5"/>
      <c r="D337" s="6"/>
      <c r="E337" s="7"/>
      <c r="F337" s="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29.25" customHeight="1">
      <c r="A338" s="173" t="s">
        <v>118</v>
      </c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</row>
    <row r="339" spans="1:20" ht="29.25" customHeight="1">
      <c r="A339" s="99"/>
      <c r="B339" s="99"/>
      <c r="C339" s="99"/>
      <c r="D339" s="100"/>
      <c r="E339" s="101"/>
      <c r="F339" s="101"/>
      <c r="G339" s="100"/>
      <c r="H339" s="102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</row>
    <row r="340" spans="1:20" s="105" customFormat="1" ht="13.5" customHeight="1">
      <c r="A340" s="103"/>
      <c r="B340" s="103"/>
      <c r="C340" s="103"/>
      <c r="D340" s="103"/>
      <c r="E340" s="104"/>
      <c r="F340" s="104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</row>
  </sheetData>
  <sheetProtection selectLockedCells="1" selectUnlockedCells="1"/>
  <mergeCells count="389">
    <mergeCell ref="B180:C180"/>
    <mergeCell ref="A49:C49"/>
    <mergeCell ref="B48:C48"/>
    <mergeCell ref="B110:C110"/>
    <mergeCell ref="A168:D168"/>
    <mergeCell ref="A167:D167"/>
    <mergeCell ref="B154:C154"/>
    <mergeCell ref="B155:C155"/>
    <mergeCell ref="D172:F172"/>
    <mergeCell ref="B156:C156"/>
    <mergeCell ref="M335:T335"/>
    <mergeCell ref="A338:T338"/>
    <mergeCell ref="B328:C328"/>
    <mergeCell ref="B329:C329"/>
    <mergeCell ref="A331:D331"/>
    <mergeCell ref="A332:D332"/>
    <mergeCell ref="A333:D333"/>
    <mergeCell ref="A334:D334"/>
    <mergeCell ref="B187:C187"/>
    <mergeCell ref="B322:C322"/>
    <mergeCell ref="B323:C323"/>
    <mergeCell ref="B324:C324"/>
    <mergeCell ref="A326:D326"/>
    <mergeCell ref="A327:T327"/>
    <mergeCell ref="A316:D316"/>
    <mergeCell ref="A317:T317"/>
    <mergeCell ref="B318:C318"/>
    <mergeCell ref="B319:C319"/>
    <mergeCell ref="B321:C321"/>
    <mergeCell ref="O306:T306"/>
    <mergeCell ref="B320:C320"/>
    <mergeCell ref="B308:C308"/>
    <mergeCell ref="A309:T309"/>
    <mergeCell ref="B310:C310"/>
    <mergeCell ref="B311:C311"/>
    <mergeCell ref="B312:C312"/>
    <mergeCell ref="B313:C313"/>
    <mergeCell ref="B314:C314"/>
    <mergeCell ref="A306:A307"/>
    <mergeCell ref="B306:C307"/>
    <mergeCell ref="D306:D307"/>
    <mergeCell ref="F306:H306"/>
    <mergeCell ref="I306:I307"/>
    <mergeCell ref="J306:N306"/>
    <mergeCell ref="G304:I304"/>
    <mergeCell ref="L304:M304"/>
    <mergeCell ref="N304:Q304"/>
    <mergeCell ref="D305:F305"/>
    <mergeCell ref="L305:M305"/>
    <mergeCell ref="N305:T305"/>
    <mergeCell ref="A298:D298"/>
    <mergeCell ref="A299:D299"/>
    <mergeCell ref="A300:D300"/>
    <mergeCell ref="A301:D301"/>
    <mergeCell ref="M302:T302"/>
    <mergeCell ref="A303:T303"/>
    <mergeCell ref="B289:C289"/>
    <mergeCell ref="B290:C290"/>
    <mergeCell ref="A292:D292"/>
    <mergeCell ref="A293:T293"/>
    <mergeCell ref="B294:C294"/>
    <mergeCell ref="B295:C295"/>
    <mergeCell ref="A283:T283"/>
    <mergeCell ref="B284:C284"/>
    <mergeCell ref="B285:C285"/>
    <mergeCell ref="B286:C286"/>
    <mergeCell ref="B287:C287"/>
    <mergeCell ref="B288:C288"/>
    <mergeCell ref="B278:C278"/>
    <mergeCell ref="B279:C279"/>
    <mergeCell ref="B280:C280"/>
    <mergeCell ref="A282:D282"/>
    <mergeCell ref="B274:C274"/>
    <mergeCell ref="A275:T275"/>
    <mergeCell ref="B276:C276"/>
    <mergeCell ref="B277:C277"/>
    <mergeCell ref="O272:T272"/>
    <mergeCell ref="A272:A273"/>
    <mergeCell ref="B272:C273"/>
    <mergeCell ref="D272:D273"/>
    <mergeCell ref="F272:H272"/>
    <mergeCell ref="I272:I273"/>
    <mergeCell ref="J272:N272"/>
    <mergeCell ref="M267:T267"/>
    <mergeCell ref="A269:T269"/>
    <mergeCell ref="D271:F271"/>
    <mergeCell ref="L271:M271"/>
    <mergeCell ref="N271:T271"/>
    <mergeCell ref="G270:I270"/>
    <mergeCell ref="L270:M270"/>
    <mergeCell ref="N270:Q270"/>
    <mergeCell ref="B256:C256"/>
    <mergeCell ref="A258:D258"/>
    <mergeCell ref="A259:T259"/>
    <mergeCell ref="B260:C260"/>
    <mergeCell ref="B261:C261"/>
    <mergeCell ref="A266:D266"/>
    <mergeCell ref="A263:D263"/>
    <mergeCell ref="A264:D264"/>
    <mergeCell ref="A265:D265"/>
    <mergeCell ref="A249:T249"/>
    <mergeCell ref="B250:C250"/>
    <mergeCell ref="B251:C251"/>
    <mergeCell ref="B252:C252"/>
    <mergeCell ref="B253:C253"/>
    <mergeCell ref="B254:C254"/>
    <mergeCell ref="B255:C255"/>
    <mergeCell ref="B241:C241"/>
    <mergeCell ref="A242:T242"/>
    <mergeCell ref="B243:C243"/>
    <mergeCell ref="B245:C245"/>
    <mergeCell ref="B246:C246"/>
    <mergeCell ref="A248:D248"/>
    <mergeCell ref="D238:F238"/>
    <mergeCell ref="L238:M238"/>
    <mergeCell ref="N238:T238"/>
    <mergeCell ref="A239:A240"/>
    <mergeCell ref="B239:C240"/>
    <mergeCell ref="D239:D240"/>
    <mergeCell ref="F239:H239"/>
    <mergeCell ref="I239:I240"/>
    <mergeCell ref="J239:N239"/>
    <mergeCell ref="O239:T239"/>
    <mergeCell ref="A233:D233"/>
    <mergeCell ref="A234:D234"/>
    <mergeCell ref="M235:T235"/>
    <mergeCell ref="A236:T236"/>
    <mergeCell ref="G237:I237"/>
    <mergeCell ref="L237:M237"/>
    <mergeCell ref="N237:Q237"/>
    <mergeCell ref="A226:D226"/>
    <mergeCell ref="A227:T227"/>
    <mergeCell ref="B228:C228"/>
    <mergeCell ref="B229:C229"/>
    <mergeCell ref="A231:D231"/>
    <mergeCell ref="A232:D232"/>
    <mergeCell ref="B219:C219"/>
    <mergeCell ref="B220:C220"/>
    <mergeCell ref="B221:C221"/>
    <mergeCell ref="B222:C222"/>
    <mergeCell ref="B223:C223"/>
    <mergeCell ref="B224:C224"/>
    <mergeCell ref="A217:T217"/>
    <mergeCell ref="B218:C218"/>
    <mergeCell ref="B213:C213"/>
    <mergeCell ref="O206:T206"/>
    <mergeCell ref="B208:C208"/>
    <mergeCell ref="A209:T209"/>
    <mergeCell ref="A206:A207"/>
    <mergeCell ref="B206:C207"/>
    <mergeCell ref="F206:H206"/>
    <mergeCell ref="B210:C210"/>
    <mergeCell ref="B211:C211"/>
    <mergeCell ref="B212:C212"/>
    <mergeCell ref="I206:I207"/>
    <mergeCell ref="A216:D216"/>
    <mergeCell ref="J206:N206"/>
    <mergeCell ref="M202:T202"/>
    <mergeCell ref="A203:T203"/>
    <mergeCell ref="G204:I204"/>
    <mergeCell ref="L204:M204"/>
    <mergeCell ref="N204:Q204"/>
    <mergeCell ref="D205:F205"/>
    <mergeCell ref="L205:M205"/>
    <mergeCell ref="N205:T205"/>
    <mergeCell ref="D206:D207"/>
    <mergeCell ref="B195:C195"/>
    <mergeCell ref="B196:C196"/>
    <mergeCell ref="A198:D198"/>
    <mergeCell ref="A199:D199"/>
    <mergeCell ref="A200:D200"/>
    <mergeCell ref="A201:D201"/>
    <mergeCell ref="B188:C188"/>
    <mergeCell ref="B189:C189"/>
    <mergeCell ref="B190:C190"/>
    <mergeCell ref="B191:C191"/>
    <mergeCell ref="A193:D193"/>
    <mergeCell ref="A194:T194"/>
    <mergeCell ref="A183:D183"/>
    <mergeCell ref="A184:T184"/>
    <mergeCell ref="B185:C185"/>
    <mergeCell ref="B186:C186"/>
    <mergeCell ref="B175:C175"/>
    <mergeCell ref="A176:T176"/>
    <mergeCell ref="B181:C181"/>
    <mergeCell ref="B177:C177"/>
    <mergeCell ref="B178:C178"/>
    <mergeCell ref="L172:M172"/>
    <mergeCell ref="N172:T172"/>
    <mergeCell ref="A173:A174"/>
    <mergeCell ref="B173:C174"/>
    <mergeCell ref="D173:D174"/>
    <mergeCell ref="F173:H173"/>
    <mergeCell ref="I173:I174"/>
    <mergeCell ref="J173:N173"/>
    <mergeCell ref="O173:T173"/>
    <mergeCell ref="M169:T169"/>
    <mergeCell ref="A170:T170"/>
    <mergeCell ref="G171:I171"/>
    <mergeCell ref="L171:M171"/>
    <mergeCell ref="N171:Q171"/>
    <mergeCell ref="A161:T161"/>
    <mergeCell ref="B162:C162"/>
    <mergeCell ref="B163:C163"/>
    <mergeCell ref="A165:D165"/>
    <mergeCell ref="A166:D166"/>
    <mergeCell ref="I140:I141"/>
    <mergeCell ref="J140:N140"/>
    <mergeCell ref="B157:C157"/>
    <mergeCell ref="B158:C158"/>
    <mergeCell ref="A160:D160"/>
    <mergeCell ref="A150:D150"/>
    <mergeCell ref="A151:T151"/>
    <mergeCell ref="B152:C152"/>
    <mergeCell ref="B153:C153"/>
    <mergeCell ref="D139:F139"/>
    <mergeCell ref="L139:M139"/>
    <mergeCell ref="N139:T139"/>
    <mergeCell ref="O140:T140"/>
    <mergeCell ref="B142:C142"/>
    <mergeCell ref="A143:T143"/>
    <mergeCell ref="A140:A141"/>
    <mergeCell ref="B140:C141"/>
    <mergeCell ref="D140:D141"/>
    <mergeCell ref="F140:H140"/>
    <mergeCell ref="A134:D134"/>
    <mergeCell ref="M135:T135"/>
    <mergeCell ref="A137:T137"/>
    <mergeCell ref="G138:I138"/>
    <mergeCell ref="L138:M138"/>
    <mergeCell ref="N138:Q138"/>
    <mergeCell ref="A127:T127"/>
    <mergeCell ref="B128:C128"/>
    <mergeCell ref="B129:C129"/>
    <mergeCell ref="A131:D131"/>
    <mergeCell ref="A132:D132"/>
    <mergeCell ref="A133:D133"/>
    <mergeCell ref="B113:C113"/>
    <mergeCell ref="B121:C121"/>
    <mergeCell ref="B122:C122"/>
    <mergeCell ref="B123:C123"/>
    <mergeCell ref="B124:C124"/>
    <mergeCell ref="A126:D126"/>
    <mergeCell ref="J106:N106"/>
    <mergeCell ref="A116:D116"/>
    <mergeCell ref="A117:T117"/>
    <mergeCell ref="B118:C118"/>
    <mergeCell ref="B119:C119"/>
    <mergeCell ref="B120:C120"/>
    <mergeCell ref="B108:C108"/>
    <mergeCell ref="A109:T109"/>
    <mergeCell ref="B111:C111"/>
    <mergeCell ref="B112:C112"/>
    <mergeCell ref="N104:Q104"/>
    <mergeCell ref="B114:C114"/>
    <mergeCell ref="D105:F105"/>
    <mergeCell ref="L105:M105"/>
    <mergeCell ref="N105:T105"/>
    <mergeCell ref="A106:A107"/>
    <mergeCell ref="B106:C107"/>
    <mergeCell ref="D106:D107"/>
    <mergeCell ref="F106:H106"/>
    <mergeCell ref="I106:I107"/>
    <mergeCell ref="B96:C96"/>
    <mergeCell ref="A98:D98"/>
    <mergeCell ref="O106:T106"/>
    <mergeCell ref="A99:D99"/>
    <mergeCell ref="A100:D100"/>
    <mergeCell ref="A101:D101"/>
    <mergeCell ref="M102:T102"/>
    <mergeCell ref="A103:T103"/>
    <mergeCell ref="G104:I104"/>
    <mergeCell ref="L104:M104"/>
    <mergeCell ref="B89:C89"/>
    <mergeCell ref="B90:C90"/>
    <mergeCell ref="B91:C91"/>
    <mergeCell ref="A93:D93"/>
    <mergeCell ref="A94:T94"/>
    <mergeCell ref="B95:C95"/>
    <mergeCell ref="A84:D84"/>
    <mergeCell ref="B80:C80"/>
    <mergeCell ref="A85:T85"/>
    <mergeCell ref="B86:C86"/>
    <mergeCell ref="B87:C87"/>
    <mergeCell ref="B88:C88"/>
    <mergeCell ref="O75:T75"/>
    <mergeCell ref="B77:C77"/>
    <mergeCell ref="A78:T78"/>
    <mergeCell ref="B79:C79"/>
    <mergeCell ref="B81:C81"/>
    <mergeCell ref="B82:C82"/>
    <mergeCell ref="A75:A76"/>
    <mergeCell ref="B75:C76"/>
    <mergeCell ref="D75:D76"/>
    <mergeCell ref="F75:H75"/>
    <mergeCell ref="I75:I76"/>
    <mergeCell ref="J75:N75"/>
    <mergeCell ref="G73:I73"/>
    <mergeCell ref="L73:M73"/>
    <mergeCell ref="N73:Q73"/>
    <mergeCell ref="D74:F74"/>
    <mergeCell ref="L74:M74"/>
    <mergeCell ref="N74:T74"/>
    <mergeCell ref="A66:D66"/>
    <mergeCell ref="A67:D67"/>
    <mergeCell ref="A68:D68"/>
    <mergeCell ref="A69:D69"/>
    <mergeCell ref="M70:T70"/>
    <mergeCell ref="A72:T72"/>
    <mergeCell ref="B46:C46"/>
    <mergeCell ref="B47:C47"/>
    <mergeCell ref="A50:D50"/>
    <mergeCell ref="A52:T52"/>
    <mergeCell ref="B53:C53"/>
    <mergeCell ref="B54:C54"/>
    <mergeCell ref="B44:C44"/>
    <mergeCell ref="B45:C45"/>
    <mergeCell ref="A40:A41"/>
    <mergeCell ref="B40:C41"/>
    <mergeCell ref="D40:D41"/>
    <mergeCell ref="F40:H40"/>
    <mergeCell ref="D39:F39"/>
    <mergeCell ref="L39:M39"/>
    <mergeCell ref="N39:T39"/>
    <mergeCell ref="B42:C42"/>
    <mergeCell ref="A43:T43"/>
    <mergeCell ref="I40:I41"/>
    <mergeCell ref="J40:N40"/>
    <mergeCell ref="O40:T40"/>
    <mergeCell ref="A35:D35"/>
    <mergeCell ref="M36:T36"/>
    <mergeCell ref="N38:Q38"/>
    <mergeCell ref="A37:T37"/>
    <mergeCell ref="G38:I38"/>
    <mergeCell ref="L38:M38"/>
    <mergeCell ref="B22:C22"/>
    <mergeCell ref="B23:C23"/>
    <mergeCell ref="B24:C24"/>
    <mergeCell ref="A26:D26"/>
    <mergeCell ref="A28:T28"/>
    <mergeCell ref="B29:C29"/>
    <mergeCell ref="A32:D32"/>
    <mergeCell ref="A33:D33"/>
    <mergeCell ref="A34:D34"/>
    <mergeCell ref="B30:C30"/>
    <mergeCell ref="B19:C19"/>
    <mergeCell ref="B12:C12"/>
    <mergeCell ref="B13:C13"/>
    <mergeCell ref="B20:C20"/>
    <mergeCell ref="B21:C21"/>
    <mergeCell ref="A17:T17"/>
    <mergeCell ref="O5:T5"/>
    <mergeCell ref="B7:C7"/>
    <mergeCell ref="A8:T8"/>
    <mergeCell ref="A5:A6"/>
    <mergeCell ref="B5:C6"/>
    <mergeCell ref="B214:C214"/>
    <mergeCell ref="B56:C56"/>
    <mergeCell ref="B144:C144"/>
    <mergeCell ref="B146:C146"/>
    <mergeCell ref="B147:C147"/>
    <mergeCell ref="B145:C145"/>
    <mergeCell ref="B148:C148"/>
    <mergeCell ref="B57:C57"/>
    <mergeCell ref="B58:C58"/>
    <mergeCell ref="B59:C59"/>
    <mergeCell ref="B55:C55"/>
    <mergeCell ref="A61:D61"/>
    <mergeCell ref="A62:T62"/>
    <mergeCell ref="B63:C63"/>
    <mergeCell ref="B64:C64"/>
    <mergeCell ref="F5:H5"/>
    <mergeCell ref="I5:I6"/>
    <mergeCell ref="J5:N5"/>
    <mergeCell ref="B18:C18"/>
    <mergeCell ref="B9:C9"/>
    <mergeCell ref="B10:C10"/>
    <mergeCell ref="B11:C11"/>
    <mergeCell ref="A15:D15"/>
    <mergeCell ref="B179:C179"/>
    <mergeCell ref="M1:T1"/>
    <mergeCell ref="A2:T2"/>
    <mergeCell ref="G3:I3"/>
    <mergeCell ref="L3:M3"/>
    <mergeCell ref="N3:Q3"/>
    <mergeCell ref="D4:F4"/>
    <mergeCell ref="L4:M4"/>
    <mergeCell ref="N4:T4"/>
    <mergeCell ref="D5:D6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75" r:id="rId1"/>
  <rowBreaks count="10" manualBreakCount="10">
    <brk id="35" max="255" man="1"/>
    <brk id="69" max="255" man="1"/>
    <brk id="101" max="255" man="1"/>
    <brk id="134" max="255" man="1"/>
    <brk id="168" max="255" man="1"/>
    <brk id="201" max="255" man="1"/>
    <brk id="234" max="255" man="1"/>
    <brk id="266" max="255" man="1"/>
    <brk id="301" max="255" man="1"/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komp-pk</dc:creator>
  <cp:keywords/>
  <dc:description/>
  <cp:lastModifiedBy>komp-pk</cp:lastModifiedBy>
  <cp:lastPrinted>2022-08-30T07:38:46Z</cp:lastPrinted>
  <dcterms:created xsi:type="dcterms:W3CDTF">2022-08-22T08:00:45Z</dcterms:created>
  <dcterms:modified xsi:type="dcterms:W3CDTF">2022-08-30T08:43:15Z</dcterms:modified>
  <cp:category/>
  <cp:version/>
  <cp:contentType/>
  <cp:contentStatus/>
</cp:coreProperties>
</file>